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575" yWindow="945" windowWidth="18945" windowHeight="5955" tabRatio="489" activeTab="1"/>
  </bookViews>
  <sheets>
    <sheet name="Notes" sheetId="10" r:id="rId1"/>
    <sheet name="Data" sheetId="1" r:id="rId2"/>
  </sheets>
  <definedNames>
    <definedName name="_xlnm._FilterDatabase" localSheetId="1" hidden="1">Data!#REF!</definedName>
  </definedNames>
  <calcPr calcId="162913"/>
</workbook>
</file>

<file path=xl/calcChain.xml><?xml version="1.0" encoding="utf-8"?>
<calcChain xmlns="http://schemas.openxmlformats.org/spreadsheetml/2006/main">
  <c r="AK7" i="1" l="1"/>
  <c r="AK10" i="1"/>
  <c r="AK21" i="1"/>
  <c r="AK37" i="1"/>
  <c r="AK38" i="1"/>
  <c r="AK41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1" i="1"/>
  <c r="AH40" i="1"/>
  <c r="AH42" i="1"/>
  <c r="AH2" i="1"/>
  <c r="C351" i="1" l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541" i="1"/>
  <c r="C560" i="1"/>
  <c r="C561" i="1"/>
  <c r="C562" i="1"/>
  <c r="C563" i="1"/>
  <c r="C564" i="1"/>
  <c r="C790" i="1"/>
  <c r="C791" i="1"/>
  <c r="C792" i="1"/>
  <c r="C725" i="1"/>
  <c r="C726" i="1"/>
  <c r="C727" i="1"/>
  <c r="C728" i="1"/>
  <c r="C729" i="1"/>
  <c r="C730" i="1"/>
  <c r="C731" i="1"/>
  <c r="C732" i="1"/>
  <c r="C733" i="1"/>
  <c r="C801" i="1"/>
  <c r="C802" i="1"/>
  <c r="C712" i="1"/>
  <c r="C803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35" i="1"/>
  <c r="C793" i="1"/>
  <c r="C794" i="1"/>
  <c r="C795" i="1"/>
  <c r="C796" i="1"/>
  <c r="C797" i="1"/>
  <c r="C798" i="1"/>
  <c r="C799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810" i="1"/>
  <c r="C843" i="1"/>
  <c r="C844" i="1"/>
  <c r="C845" i="1"/>
  <c r="C846" i="1"/>
  <c r="C847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869" i="1"/>
  <c r="C946" i="1"/>
  <c r="C940" i="1"/>
  <c r="C941" i="1"/>
  <c r="C942" i="1"/>
  <c r="C943" i="1"/>
  <c r="C944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57" i="1"/>
  <c r="C1026" i="1"/>
  <c r="C1027" i="1"/>
  <c r="C1028" i="1"/>
  <c r="C1029" i="1"/>
  <c r="C1030" i="1"/>
  <c r="C1031" i="1"/>
  <c r="C1032" i="1"/>
  <c r="C1033" i="1"/>
  <c r="C1034" i="1"/>
  <c r="C1042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993" i="1"/>
  <c r="C997" i="1"/>
  <c r="C998" i="1"/>
  <c r="C999" i="1"/>
  <c r="C1043" i="1"/>
  <c r="C1044" i="1"/>
  <c r="C1045" i="1"/>
  <c r="C1046" i="1"/>
  <c r="C1047" i="1"/>
  <c r="C1048" i="1"/>
  <c r="C1049" i="1"/>
  <c r="C1050" i="1"/>
  <c r="C1051" i="1"/>
  <c r="C1025" i="1"/>
  <c r="C1069" i="1"/>
  <c r="C1070" i="1"/>
  <c r="C992" i="1"/>
  <c r="C229" i="1"/>
  <c r="C230" i="1"/>
  <c r="C231" i="1"/>
  <c r="C232" i="1"/>
  <c r="C233" i="1"/>
  <c r="C234" i="1"/>
  <c r="C235" i="1"/>
  <c r="C236" i="1"/>
  <c r="C237" i="1"/>
  <c r="C238" i="1"/>
  <c r="C241" i="1"/>
  <c r="C169" i="1"/>
  <c r="C226" i="1"/>
  <c r="C227" i="1"/>
  <c r="C228" i="1"/>
  <c r="C242" i="1"/>
  <c r="C243" i="1"/>
  <c r="C244" i="1"/>
  <c r="C245" i="1"/>
  <c r="C246" i="1"/>
  <c r="C247" i="1"/>
  <c r="C248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541" i="1"/>
  <c r="Y560" i="1"/>
  <c r="Y561" i="1"/>
  <c r="Y562" i="1"/>
  <c r="Y563" i="1"/>
  <c r="Y564" i="1"/>
  <c r="Y790" i="1"/>
  <c r="Y791" i="1"/>
  <c r="Y792" i="1"/>
  <c r="Y725" i="1"/>
  <c r="Y726" i="1"/>
  <c r="Y727" i="1"/>
  <c r="Y728" i="1"/>
  <c r="Y729" i="1"/>
  <c r="Y730" i="1"/>
  <c r="Y731" i="1"/>
  <c r="Y732" i="1"/>
  <c r="Y733" i="1"/>
  <c r="Y801" i="1"/>
  <c r="Y802" i="1"/>
  <c r="Y712" i="1"/>
  <c r="Y803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35" i="1"/>
  <c r="Y793" i="1"/>
  <c r="Y794" i="1"/>
  <c r="Y795" i="1"/>
  <c r="Y796" i="1"/>
  <c r="Y797" i="1"/>
  <c r="Y798" i="1"/>
  <c r="Y799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810" i="1"/>
  <c r="Y843" i="1"/>
  <c r="Y844" i="1"/>
  <c r="Y845" i="1"/>
  <c r="Y846" i="1"/>
  <c r="Y847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869" i="1"/>
  <c r="Y946" i="1"/>
  <c r="Y940" i="1"/>
  <c r="Y941" i="1"/>
  <c r="Y942" i="1"/>
  <c r="Y943" i="1"/>
  <c r="Y944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57" i="1"/>
  <c r="Y1026" i="1"/>
  <c r="Y1027" i="1"/>
  <c r="Y1028" i="1"/>
  <c r="Y1029" i="1"/>
  <c r="Y1030" i="1"/>
  <c r="Y1031" i="1"/>
  <c r="Y1032" i="1"/>
  <c r="Y1033" i="1"/>
  <c r="Y1034" i="1"/>
  <c r="Y1042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993" i="1"/>
  <c r="Y997" i="1"/>
  <c r="Y998" i="1"/>
  <c r="Y999" i="1"/>
  <c r="Y1043" i="1"/>
  <c r="Y1044" i="1"/>
  <c r="Y1045" i="1"/>
  <c r="Y1046" i="1"/>
  <c r="Y1047" i="1"/>
  <c r="Y1048" i="1"/>
  <c r="Y1049" i="1"/>
  <c r="Y1050" i="1"/>
  <c r="Y1051" i="1"/>
  <c r="Y1025" i="1"/>
  <c r="Y1069" i="1"/>
  <c r="Y1070" i="1"/>
  <c r="Y992" i="1"/>
  <c r="Y229" i="1"/>
  <c r="Y230" i="1"/>
  <c r="Y231" i="1"/>
  <c r="Y232" i="1"/>
  <c r="Y233" i="1"/>
  <c r="Y234" i="1"/>
  <c r="Y235" i="1"/>
  <c r="Y236" i="1"/>
  <c r="Y237" i="1"/>
  <c r="Y238" i="1"/>
  <c r="Y241" i="1"/>
  <c r="Y169" i="1"/>
  <c r="Y226" i="1"/>
  <c r="Y227" i="1"/>
  <c r="Y228" i="1"/>
  <c r="Y242" i="1"/>
  <c r="Y243" i="1"/>
  <c r="Y244" i="1"/>
  <c r="Y245" i="1"/>
  <c r="Y246" i="1"/>
  <c r="Y247" i="1"/>
  <c r="Y248" i="1"/>
  <c r="L2" i="1"/>
  <c r="L3" i="1"/>
  <c r="L4" i="1"/>
  <c r="L5" i="1"/>
  <c r="L6" i="1"/>
  <c r="L8" i="1"/>
  <c r="L9" i="1"/>
  <c r="L10" i="1"/>
  <c r="L11" i="1"/>
  <c r="L12" i="1"/>
  <c r="L15" i="1"/>
  <c r="L16" i="1"/>
  <c r="L17" i="1"/>
  <c r="L18" i="1"/>
  <c r="L19" i="1"/>
  <c r="L21" i="1"/>
  <c r="L22" i="1"/>
  <c r="L23" i="1"/>
  <c r="L24" i="1"/>
  <c r="L25" i="1"/>
  <c r="L26" i="1"/>
  <c r="L27" i="1"/>
  <c r="L28" i="1"/>
  <c r="L29" i="1"/>
  <c r="L30" i="1"/>
  <c r="L31" i="1"/>
  <c r="L32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3" i="1"/>
  <c r="L55" i="1"/>
  <c r="L56" i="1"/>
  <c r="L57" i="1"/>
  <c r="L58" i="1"/>
  <c r="L60" i="1"/>
  <c r="L61" i="1"/>
  <c r="L62" i="1"/>
  <c r="L13" i="1"/>
  <c r="L14" i="1"/>
  <c r="L81" i="1"/>
  <c r="L82" i="1"/>
  <c r="L83" i="1"/>
  <c r="L84" i="1"/>
  <c r="L86" i="1"/>
  <c r="L87" i="1"/>
  <c r="L63" i="1"/>
  <c r="L64" i="1"/>
  <c r="L65" i="1"/>
  <c r="L66" i="1"/>
  <c r="L67" i="1"/>
  <c r="L68" i="1"/>
  <c r="L69" i="1"/>
  <c r="L70" i="1"/>
  <c r="L71" i="1"/>
  <c r="L73" i="1"/>
  <c r="L74" i="1"/>
  <c r="L75" i="1"/>
  <c r="L77" i="1"/>
  <c r="L78" i="1"/>
  <c r="L79" i="1"/>
  <c r="L80" i="1"/>
  <c r="L88" i="1"/>
  <c r="L89" i="1"/>
  <c r="L90" i="1"/>
  <c r="L91" i="1"/>
  <c r="L92" i="1"/>
  <c r="L93" i="1"/>
  <c r="L94" i="1"/>
  <c r="L95" i="1"/>
  <c r="L96" i="1"/>
  <c r="L97" i="1"/>
  <c r="L99" i="1"/>
  <c r="L100" i="1"/>
  <c r="L101" i="1"/>
  <c r="L102" i="1"/>
  <c r="L103" i="1"/>
  <c r="L104" i="1"/>
  <c r="L105" i="1"/>
  <c r="L106" i="1"/>
  <c r="L107" i="1"/>
  <c r="L108" i="1"/>
  <c r="L109" i="1"/>
  <c r="L112" i="1"/>
  <c r="L113" i="1"/>
  <c r="L111" i="1"/>
  <c r="L114" i="1"/>
  <c r="L115" i="1"/>
  <c r="L138" i="1"/>
  <c r="L136" i="1"/>
  <c r="L139" i="1"/>
  <c r="L140" i="1"/>
  <c r="L141" i="1"/>
  <c r="L137" i="1"/>
  <c r="L142" i="1"/>
  <c r="L143" i="1"/>
  <c r="L144" i="1"/>
  <c r="L145" i="1"/>
  <c r="L146" i="1"/>
  <c r="L147" i="1"/>
  <c r="L148" i="1"/>
  <c r="L128" i="1"/>
  <c r="L129" i="1"/>
  <c r="L130" i="1"/>
  <c r="L133" i="1"/>
  <c r="L134" i="1"/>
  <c r="L126" i="1"/>
  <c r="L135" i="1"/>
  <c r="L116" i="1"/>
  <c r="L118" i="1"/>
  <c r="L122" i="1"/>
  <c r="L150" i="1"/>
  <c r="L151" i="1"/>
  <c r="L155" i="1"/>
  <c r="L156" i="1"/>
  <c r="L157" i="1"/>
  <c r="L160" i="1"/>
  <c r="L154" i="1"/>
  <c r="L158" i="1"/>
  <c r="L149" i="1"/>
  <c r="L159" i="1"/>
  <c r="L161" i="1"/>
  <c r="L163" i="1"/>
  <c r="L164" i="1"/>
  <c r="L165" i="1"/>
  <c r="L166" i="1"/>
  <c r="L167" i="1"/>
  <c r="L168" i="1"/>
  <c r="L250" i="1"/>
  <c r="L251" i="1"/>
  <c r="L253" i="1"/>
  <c r="L255" i="1"/>
  <c r="L256" i="1"/>
  <c r="L170" i="1"/>
  <c r="L171" i="1"/>
  <c r="L172" i="1"/>
  <c r="L173" i="1"/>
  <c r="L174" i="1"/>
  <c r="L175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90" i="1"/>
  <c r="L191" i="1"/>
  <c r="L192" i="1"/>
  <c r="L193" i="1"/>
  <c r="L194" i="1"/>
  <c r="L195" i="1"/>
  <c r="L196" i="1"/>
  <c r="L197" i="1"/>
  <c r="L198" i="1"/>
  <c r="L258" i="1"/>
  <c r="L259" i="1"/>
  <c r="L260" i="1"/>
  <c r="L199" i="1"/>
  <c r="L200" i="1"/>
  <c r="L202" i="1"/>
  <c r="L204" i="1"/>
  <c r="L205" i="1"/>
  <c r="L206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2" i="1"/>
  <c r="L223" i="1"/>
  <c r="L224" i="1"/>
  <c r="L176" i="1"/>
  <c r="L257" i="1"/>
  <c r="L249" i="1"/>
  <c r="L239" i="1"/>
  <c r="L240" i="1"/>
  <c r="L263" i="1"/>
  <c r="L264" i="1"/>
  <c r="L265" i="1"/>
  <c r="L266" i="1"/>
  <c r="L308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3" i="1"/>
  <c r="L297" i="1"/>
  <c r="L298" i="1"/>
  <c r="L299" i="1"/>
  <c r="L300" i="1"/>
  <c r="L301" i="1"/>
  <c r="L303" i="1"/>
  <c r="L304" i="1"/>
  <c r="L284" i="1"/>
  <c r="L285" i="1"/>
  <c r="L287" i="1"/>
  <c r="L288" i="1"/>
  <c r="L289" i="1"/>
  <c r="L290" i="1"/>
  <c r="L291" i="1"/>
  <c r="L292" i="1"/>
  <c r="L293" i="1"/>
  <c r="L294" i="1"/>
  <c r="L295" i="1"/>
  <c r="L296" i="1"/>
  <c r="L262" i="1"/>
  <c r="L261" i="1"/>
  <c r="L307" i="1"/>
  <c r="L306" i="1"/>
  <c r="L305" i="1"/>
  <c r="L315" i="1"/>
  <c r="L309" i="1"/>
  <c r="L313" i="1"/>
  <c r="L314" i="1"/>
  <c r="L310" i="1"/>
  <c r="L311" i="1"/>
  <c r="L312" i="1"/>
  <c r="L316" i="1"/>
  <c r="L317" i="1"/>
  <c r="L318" i="1"/>
  <c r="L319" i="1"/>
  <c r="L320" i="1"/>
  <c r="L321" i="1"/>
  <c r="L322" i="1"/>
  <c r="L323" i="1"/>
  <c r="L324" i="1"/>
  <c r="L325" i="1"/>
  <c r="L343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4" i="1"/>
  <c r="L345" i="1"/>
  <c r="L346" i="1"/>
  <c r="L347" i="1"/>
  <c r="L342" i="1"/>
  <c r="L348" i="1"/>
  <c r="L349" i="1"/>
  <c r="L350" i="1"/>
  <c r="L382" i="1"/>
  <c r="L383" i="1"/>
  <c r="L384" i="1"/>
  <c r="L386" i="1"/>
  <c r="L387" i="1"/>
  <c r="L388" i="1"/>
  <c r="L389" i="1"/>
  <c r="L391" i="1"/>
  <c r="L392" i="1"/>
  <c r="L393" i="1"/>
  <c r="L374" i="1"/>
  <c r="L375" i="1"/>
  <c r="L376" i="1"/>
  <c r="L378" i="1"/>
  <c r="L380" i="1"/>
  <c r="L381" i="1"/>
  <c r="L394" i="1"/>
  <c r="L395" i="1"/>
  <c r="L396" i="1"/>
  <c r="L397" i="1"/>
  <c r="L398" i="1"/>
  <c r="L399" i="1"/>
  <c r="L400" i="1"/>
  <c r="L401" i="1"/>
  <c r="L402" i="1"/>
  <c r="L403" i="1"/>
  <c r="L406" i="1"/>
  <c r="L407" i="1"/>
  <c r="L408" i="1"/>
  <c r="L411" i="1"/>
  <c r="L414" i="1"/>
  <c r="L415" i="1"/>
  <c r="L416" i="1"/>
  <c r="L417" i="1"/>
  <c r="L418" i="1"/>
  <c r="L419" i="1"/>
  <c r="L421" i="1"/>
  <c r="L422" i="1"/>
  <c r="L423" i="1"/>
  <c r="L425" i="1"/>
  <c r="L427" i="1"/>
  <c r="L428" i="1"/>
  <c r="L431" i="1"/>
  <c r="L432" i="1"/>
  <c r="L436" i="1"/>
  <c r="L437" i="1"/>
  <c r="L438" i="1"/>
  <c r="L439" i="1"/>
  <c r="L440" i="1"/>
  <c r="L441" i="1"/>
  <c r="L442" i="1"/>
  <c r="L443" i="1"/>
  <c r="L444" i="1"/>
  <c r="L446" i="1"/>
  <c r="L447" i="1"/>
  <c r="L448" i="1"/>
  <c r="L449" i="1"/>
  <c r="L450" i="1"/>
  <c r="L451" i="1"/>
  <c r="L452" i="1"/>
  <c r="L457" i="1"/>
  <c r="L453" i="1"/>
  <c r="L454" i="1"/>
  <c r="L458" i="1"/>
  <c r="L459" i="1"/>
  <c r="L501" i="1"/>
  <c r="L461" i="1"/>
  <c r="L462" i="1"/>
  <c r="L463" i="1"/>
  <c r="L464" i="1"/>
  <c r="L465" i="1"/>
  <c r="L467" i="1"/>
  <c r="L468" i="1"/>
  <c r="L502" i="1"/>
  <c r="L469" i="1"/>
  <c r="L503" i="1"/>
  <c r="L470" i="1"/>
  <c r="L471" i="1"/>
  <c r="L474" i="1"/>
  <c r="L478" i="1"/>
  <c r="L479" i="1"/>
  <c r="L482" i="1"/>
  <c r="L483" i="1"/>
  <c r="L487" i="1"/>
  <c r="L488" i="1"/>
  <c r="L489" i="1"/>
  <c r="L504" i="1"/>
  <c r="L490" i="1"/>
  <c r="L491" i="1"/>
  <c r="L492" i="1"/>
  <c r="L493" i="1"/>
  <c r="L495" i="1"/>
  <c r="L496" i="1"/>
  <c r="L497" i="1"/>
  <c r="L498" i="1"/>
  <c r="L499" i="1"/>
  <c r="L500" i="1"/>
  <c r="L517" i="1"/>
  <c r="L519" i="1"/>
  <c r="L520" i="1"/>
  <c r="L521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08" i="1"/>
  <c r="L509" i="1"/>
  <c r="L510" i="1"/>
  <c r="L511" i="1"/>
  <c r="L512" i="1"/>
  <c r="L513" i="1"/>
  <c r="L514" i="1"/>
  <c r="L515" i="1"/>
  <c r="L516" i="1"/>
  <c r="L539" i="1"/>
  <c r="L505" i="1"/>
  <c r="L506" i="1"/>
  <c r="L540" i="1"/>
  <c r="L507" i="1"/>
  <c r="L542" i="1"/>
  <c r="L543" i="1"/>
  <c r="L544" i="1"/>
  <c r="L545" i="1"/>
  <c r="L546" i="1"/>
  <c r="L547" i="1"/>
  <c r="L548" i="1"/>
  <c r="L549" i="1"/>
  <c r="L550" i="1"/>
  <c r="L552" i="1"/>
  <c r="L553" i="1"/>
  <c r="L554" i="1"/>
  <c r="L556" i="1"/>
  <c r="L557" i="1"/>
  <c r="L558" i="1"/>
  <c r="L559" i="1"/>
  <c r="L551" i="1"/>
  <c r="L555" i="1"/>
  <c r="L579" i="1"/>
  <c r="L580" i="1"/>
  <c r="L570" i="1"/>
  <c r="L571" i="1"/>
  <c r="L574" i="1"/>
  <c r="L575" i="1"/>
  <c r="L576" i="1"/>
  <c r="L569" i="1"/>
  <c r="L577" i="1"/>
  <c r="L568" i="1"/>
  <c r="L566" i="1"/>
  <c r="L567" i="1"/>
  <c r="L565" i="1"/>
  <c r="L581" i="1"/>
  <c r="L582" i="1"/>
  <c r="L584" i="1"/>
  <c r="L585" i="1"/>
  <c r="L586" i="1"/>
  <c r="L587" i="1"/>
  <c r="L588" i="1"/>
  <c r="L590" i="1"/>
  <c r="L593" i="1"/>
  <c r="L594" i="1"/>
  <c r="L607" i="1"/>
  <c r="L608" i="1"/>
  <c r="L597" i="1"/>
  <c r="L598" i="1"/>
  <c r="L600" i="1"/>
  <c r="L601" i="1"/>
  <c r="L602" i="1"/>
  <c r="L603" i="1"/>
  <c r="L604" i="1"/>
  <c r="L605" i="1"/>
  <c r="L606" i="1"/>
  <c r="L609" i="1"/>
  <c r="L616" i="1"/>
  <c r="L612" i="1"/>
  <c r="L613" i="1"/>
  <c r="L614" i="1"/>
  <c r="L615" i="1"/>
  <c r="L610" i="1"/>
  <c r="L611" i="1"/>
  <c r="L617" i="1"/>
  <c r="L618" i="1"/>
  <c r="L619" i="1"/>
  <c r="L620" i="1"/>
  <c r="L621" i="1"/>
  <c r="L623" i="1"/>
  <c r="L624" i="1"/>
  <c r="L625" i="1"/>
  <c r="L627" i="1"/>
  <c r="L628" i="1"/>
  <c r="L629" i="1"/>
  <c r="L632" i="1"/>
  <c r="L635" i="1"/>
  <c r="L633" i="1"/>
  <c r="L634" i="1"/>
  <c r="L636" i="1"/>
  <c r="L637" i="1"/>
  <c r="L641" i="1"/>
  <c r="L642" i="1"/>
  <c r="L638" i="1"/>
  <c r="L639" i="1"/>
  <c r="L640" i="1"/>
  <c r="L643" i="1"/>
  <c r="L644" i="1"/>
  <c r="L667" i="1"/>
  <c r="L646" i="1"/>
  <c r="L647" i="1"/>
  <c r="L648" i="1"/>
  <c r="L649" i="1"/>
  <c r="L651" i="1"/>
  <c r="L653" i="1"/>
  <c r="L654" i="1"/>
  <c r="L655" i="1"/>
  <c r="L656" i="1"/>
  <c r="L657" i="1"/>
  <c r="L660" i="1"/>
  <c r="L661" i="1"/>
  <c r="L662" i="1"/>
  <c r="L668" i="1"/>
  <c r="L663" i="1"/>
  <c r="L664" i="1"/>
  <c r="L665" i="1"/>
  <c r="L666" i="1"/>
  <c r="L669" i="1"/>
  <c r="L670" i="1"/>
  <c r="L674" i="1"/>
  <c r="L675" i="1"/>
  <c r="L676" i="1"/>
  <c r="L677" i="1"/>
  <c r="L692" i="1"/>
  <c r="L680" i="1"/>
  <c r="L681" i="1"/>
  <c r="L683" i="1"/>
  <c r="L686" i="1"/>
  <c r="L671" i="1"/>
  <c r="L687" i="1"/>
  <c r="L688" i="1"/>
  <c r="L691" i="1"/>
  <c r="L690" i="1"/>
  <c r="L672" i="1"/>
  <c r="L673" i="1"/>
  <c r="L689" i="1"/>
  <c r="L708" i="1"/>
  <c r="L707" i="1"/>
  <c r="L693" i="1"/>
  <c r="L694" i="1"/>
  <c r="L695" i="1"/>
  <c r="L696" i="1"/>
  <c r="L705" i="1"/>
  <c r="L698" i="1"/>
  <c r="L699" i="1"/>
  <c r="L700" i="1"/>
  <c r="L701" i="1"/>
  <c r="L706" i="1"/>
  <c r="L709" i="1"/>
  <c r="L710" i="1"/>
  <c r="L807" i="1"/>
  <c r="L808" i="1"/>
  <c r="L809" i="1"/>
  <c r="L736" i="1"/>
  <c r="L714" i="1"/>
  <c r="L715" i="1"/>
  <c r="L716" i="1"/>
  <c r="L717" i="1"/>
  <c r="L718" i="1"/>
  <c r="L719" i="1"/>
  <c r="L720" i="1"/>
  <c r="L721" i="1"/>
  <c r="L722" i="1"/>
  <c r="L723" i="1"/>
  <c r="L724" i="1"/>
  <c r="L713" i="1"/>
  <c r="L711" i="1"/>
  <c r="L761" i="1"/>
  <c r="L785" i="1"/>
  <c r="L786" i="1"/>
  <c r="L804" i="1"/>
  <c r="L762" i="1"/>
  <c r="L763" i="1"/>
  <c r="L764" i="1"/>
  <c r="L765" i="1"/>
  <c r="L766" i="1"/>
  <c r="L805" i="1"/>
  <c r="L806" i="1"/>
  <c r="L787" i="1"/>
  <c r="L788" i="1"/>
  <c r="L789" i="1"/>
  <c r="L800" i="1"/>
  <c r="L734" i="1"/>
  <c r="L817" i="1"/>
  <c r="L818" i="1"/>
  <c r="L819" i="1"/>
  <c r="L820" i="1"/>
  <c r="L821" i="1"/>
  <c r="L822" i="1"/>
  <c r="L823" i="1"/>
  <c r="L826" i="1"/>
  <c r="L827" i="1"/>
  <c r="L828" i="1"/>
  <c r="L829" i="1"/>
  <c r="L830" i="1"/>
  <c r="L831" i="1"/>
  <c r="L925" i="1"/>
  <c r="L832" i="1"/>
  <c r="L834" i="1"/>
  <c r="L926" i="1"/>
  <c r="L927" i="1"/>
  <c r="L835" i="1"/>
  <c r="L928" i="1"/>
  <c r="L836" i="1"/>
  <c r="L929" i="1"/>
  <c r="L811" i="1"/>
  <c r="L922" i="1"/>
  <c r="L947" i="1"/>
  <c r="L812" i="1"/>
  <c r="L816" i="1"/>
  <c r="L813" i="1"/>
  <c r="L814" i="1"/>
  <c r="L815" i="1"/>
  <c r="L841" i="1"/>
  <c r="L837" i="1"/>
  <c r="L923" i="1"/>
  <c r="L924" i="1"/>
  <c r="L838" i="1"/>
  <c r="L945" i="1"/>
  <c r="L921" i="1"/>
  <c r="L839" i="1"/>
  <c r="L908" i="1"/>
  <c r="L909" i="1"/>
  <c r="L912" i="1"/>
  <c r="L913" i="1"/>
  <c r="L914" i="1"/>
  <c r="L915" i="1"/>
  <c r="L910" i="1"/>
  <c r="L907" i="1"/>
  <c r="L916" i="1"/>
  <c r="L917" i="1"/>
  <c r="L918" i="1"/>
  <c r="L911" i="1"/>
  <c r="L920" i="1"/>
  <c r="L872" i="1"/>
  <c r="L873" i="1"/>
  <c r="L874" i="1"/>
  <c r="L875" i="1"/>
  <c r="L851" i="1"/>
  <c r="L853" i="1"/>
  <c r="L854" i="1"/>
  <c r="L855" i="1"/>
  <c r="L856" i="1"/>
  <c r="L857" i="1"/>
  <c r="L858" i="1"/>
  <c r="L859" i="1"/>
  <c r="L860" i="1"/>
  <c r="L861" i="1"/>
  <c r="L862" i="1"/>
  <c r="L863" i="1"/>
  <c r="L849" i="1"/>
  <c r="L850" i="1"/>
  <c r="L864" i="1"/>
  <c r="L865" i="1"/>
  <c r="L866" i="1"/>
  <c r="L867" i="1"/>
  <c r="L876" i="1"/>
  <c r="L877" i="1"/>
  <c r="L878" i="1"/>
  <c r="L879" i="1"/>
  <c r="L880" i="1"/>
  <c r="L881" i="1"/>
  <c r="L882" i="1"/>
  <c r="L885" i="1"/>
  <c r="L886" i="1"/>
  <c r="L887" i="1"/>
  <c r="L842" i="1"/>
  <c r="L871" i="1"/>
  <c r="L888" i="1"/>
  <c r="L868" i="1"/>
  <c r="L870" i="1"/>
  <c r="L848" i="1"/>
  <c r="L904" i="1"/>
  <c r="L905" i="1"/>
  <c r="L906" i="1"/>
  <c r="L930" i="1"/>
  <c r="L931" i="1"/>
  <c r="L932" i="1"/>
  <c r="L933" i="1"/>
  <c r="L934" i="1"/>
  <c r="L935" i="1"/>
  <c r="L936" i="1"/>
  <c r="L937" i="1"/>
  <c r="L938" i="1"/>
  <c r="L939" i="1"/>
  <c r="L951" i="1"/>
  <c r="L948" i="1"/>
  <c r="L949" i="1"/>
  <c r="L950" i="1"/>
  <c r="L952" i="1"/>
  <c r="L956" i="1"/>
  <c r="L953" i="1"/>
  <c r="L954" i="1"/>
  <c r="L955" i="1"/>
  <c r="L971" i="1"/>
  <c r="L972" i="1"/>
  <c r="L990" i="1"/>
  <c r="L973" i="1"/>
  <c r="L974" i="1"/>
  <c r="L975" i="1"/>
  <c r="L976" i="1"/>
  <c r="L978" i="1"/>
  <c r="L979" i="1"/>
  <c r="L980" i="1"/>
  <c r="L982" i="1"/>
  <c r="L983" i="1"/>
  <c r="L985" i="1"/>
  <c r="L991" i="1"/>
  <c r="L986" i="1"/>
  <c r="L987" i="1"/>
  <c r="L988" i="1"/>
  <c r="L989" i="1"/>
  <c r="L1000" i="1"/>
  <c r="L1001" i="1"/>
  <c r="L1002" i="1"/>
  <c r="L1003" i="1"/>
  <c r="L1004" i="1"/>
  <c r="L1005" i="1"/>
  <c r="L1006" i="1"/>
  <c r="L1035" i="1"/>
  <c r="L1036" i="1"/>
  <c r="L1037" i="1"/>
  <c r="L1038" i="1"/>
  <c r="L994" i="1"/>
  <c r="L1039" i="1"/>
  <c r="L1040" i="1"/>
  <c r="L1041" i="1"/>
  <c r="L1072" i="1"/>
  <c r="L1073" i="1"/>
  <c r="L1074" i="1"/>
  <c r="L1075" i="1"/>
  <c r="L1076" i="1"/>
  <c r="L1078" i="1"/>
  <c r="L1079" i="1"/>
  <c r="L1080" i="1"/>
  <c r="L1077" i="1"/>
  <c r="L1082" i="1"/>
  <c r="L1083" i="1"/>
  <c r="L1071" i="1"/>
  <c r="L1087" i="1"/>
  <c r="L1088" i="1"/>
  <c r="L1091" i="1"/>
  <c r="L1090" i="1"/>
  <c r="L1093" i="1"/>
  <c r="L1094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4" i="1"/>
  <c r="L366" i="1"/>
  <c r="L367" i="1"/>
  <c r="L368" i="1"/>
  <c r="L369" i="1"/>
  <c r="L370" i="1"/>
  <c r="L371" i="1"/>
  <c r="L372" i="1"/>
  <c r="L373" i="1"/>
  <c r="L541" i="1"/>
  <c r="L560" i="1"/>
  <c r="L561" i="1"/>
  <c r="L562" i="1"/>
  <c r="L563" i="1"/>
  <c r="L564" i="1"/>
  <c r="L790" i="1"/>
  <c r="L791" i="1"/>
  <c r="L725" i="1"/>
  <c r="L727" i="1"/>
  <c r="L729" i="1"/>
  <c r="L730" i="1"/>
  <c r="L731" i="1"/>
  <c r="L732" i="1"/>
  <c r="L733" i="1"/>
  <c r="L801" i="1"/>
  <c r="L712" i="1"/>
  <c r="L803" i="1"/>
  <c r="L737" i="1"/>
  <c r="L738" i="1"/>
  <c r="L739" i="1"/>
  <c r="L740" i="1"/>
  <c r="L741" i="1"/>
  <c r="L742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93" i="1"/>
  <c r="L794" i="1"/>
  <c r="L795" i="1"/>
  <c r="L796" i="1"/>
  <c r="L797" i="1"/>
  <c r="L798" i="1"/>
  <c r="L799" i="1"/>
  <c r="L767" i="1"/>
  <c r="L768" i="1"/>
  <c r="L770" i="1"/>
  <c r="L771" i="1"/>
  <c r="L772" i="1"/>
  <c r="L773" i="1"/>
  <c r="L774" i="1"/>
  <c r="L777" i="1"/>
  <c r="L778" i="1"/>
  <c r="L779" i="1"/>
  <c r="L780" i="1"/>
  <c r="L781" i="1"/>
  <c r="L782" i="1"/>
  <c r="L783" i="1"/>
  <c r="L810" i="1"/>
  <c r="L843" i="1"/>
  <c r="L845" i="1"/>
  <c r="L846" i="1"/>
  <c r="L847" i="1"/>
  <c r="L890" i="1"/>
  <c r="L891" i="1"/>
  <c r="L892" i="1"/>
  <c r="L893" i="1"/>
  <c r="L894" i="1"/>
  <c r="L895" i="1"/>
  <c r="L896" i="1"/>
  <c r="L898" i="1"/>
  <c r="L899" i="1"/>
  <c r="L900" i="1"/>
  <c r="L901" i="1"/>
  <c r="L902" i="1"/>
  <c r="L903" i="1"/>
  <c r="L869" i="1"/>
  <c r="L946" i="1"/>
  <c r="L941" i="1"/>
  <c r="L942" i="1"/>
  <c r="L943" i="1"/>
  <c r="L944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57" i="1"/>
  <c r="L1026" i="1"/>
  <c r="L1027" i="1"/>
  <c r="L1028" i="1"/>
  <c r="L1029" i="1"/>
  <c r="L1030" i="1"/>
  <c r="L1031" i="1"/>
  <c r="L1033" i="1"/>
  <c r="L1034" i="1"/>
  <c r="L1042" i="1"/>
  <c r="L1052" i="1"/>
  <c r="L1053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8" i="1"/>
  <c r="L1007" i="1"/>
  <c r="L1008" i="1"/>
  <c r="L1009" i="1"/>
  <c r="L1010" i="1"/>
  <c r="L1012" i="1"/>
  <c r="L1013" i="1"/>
  <c r="L1014" i="1"/>
  <c r="L1015" i="1"/>
  <c r="L1016" i="1"/>
  <c r="L1017" i="1"/>
  <c r="L1018" i="1"/>
  <c r="L1019" i="1"/>
  <c r="L1020" i="1"/>
  <c r="L1021" i="1"/>
  <c r="L1022" i="1"/>
  <c r="L997" i="1"/>
  <c r="L1043" i="1"/>
  <c r="L1045" i="1"/>
  <c r="L1046" i="1"/>
  <c r="L1047" i="1"/>
  <c r="L1050" i="1"/>
  <c r="L1051" i="1"/>
  <c r="L1025" i="1"/>
  <c r="L1069" i="1"/>
  <c r="L1070" i="1"/>
  <c r="L992" i="1"/>
  <c r="L229" i="1"/>
  <c r="L230" i="1"/>
  <c r="L231" i="1"/>
  <c r="L232" i="1"/>
  <c r="L233" i="1"/>
  <c r="L234" i="1"/>
  <c r="L235" i="1"/>
  <c r="L236" i="1"/>
  <c r="L237" i="1"/>
  <c r="L238" i="1"/>
  <c r="L241" i="1"/>
  <c r="L227" i="1"/>
  <c r="L228" i="1"/>
  <c r="L245" i="1"/>
  <c r="L246" i="1"/>
  <c r="L247" i="1"/>
  <c r="L248" i="1"/>
  <c r="AL41" i="1" l="1"/>
  <c r="AL37" i="1"/>
  <c r="AL21" i="1"/>
  <c r="AL10" i="1"/>
  <c r="AL38" i="1"/>
  <c r="AL7" i="1"/>
  <c r="AE29" i="1" l="1"/>
  <c r="AE31" i="1"/>
  <c r="AE42" i="1" l="1"/>
  <c r="AE41" i="1"/>
  <c r="C1041" i="1" l="1"/>
  <c r="A2" i="1"/>
  <c r="A3" i="1"/>
  <c r="A4" i="1"/>
  <c r="A5" i="1"/>
  <c r="AA5" i="1" s="1"/>
  <c r="A6" i="1"/>
  <c r="A8" i="1"/>
  <c r="AA8" i="1" s="1"/>
  <c r="A9" i="1"/>
  <c r="AA9" i="1" s="1"/>
  <c r="A10" i="1"/>
  <c r="AA10" i="1" s="1"/>
  <c r="A11" i="1"/>
  <c r="AA11" i="1" s="1"/>
  <c r="A12" i="1"/>
  <c r="A15" i="1"/>
  <c r="A16" i="1"/>
  <c r="AA16" i="1" s="1"/>
  <c r="A17" i="1"/>
  <c r="AA17" i="1" s="1"/>
  <c r="A18" i="1"/>
  <c r="A19" i="1"/>
  <c r="A21" i="1"/>
  <c r="AA21" i="1" s="1"/>
  <c r="A22" i="1"/>
  <c r="A23" i="1"/>
  <c r="A24" i="1"/>
  <c r="A25" i="1"/>
  <c r="A26" i="1"/>
  <c r="AA26" i="1" s="1"/>
  <c r="A27" i="1"/>
  <c r="AA27" i="1" s="1"/>
  <c r="A28" i="1"/>
  <c r="AA28" i="1" s="1"/>
  <c r="A29" i="1"/>
  <c r="AA29" i="1" s="1"/>
  <c r="A30" i="1"/>
  <c r="AA30" i="1" s="1"/>
  <c r="A31" i="1"/>
  <c r="AA31" i="1" s="1"/>
  <c r="A32" i="1"/>
  <c r="AA32" i="1" s="1"/>
  <c r="A34" i="1"/>
  <c r="A35" i="1"/>
  <c r="AA35" i="1" s="1"/>
  <c r="A36" i="1"/>
  <c r="AA36" i="1" s="1"/>
  <c r="A37" i="1"/>
  <c r="AA37" i="1" s="1"/>
  <c r="A38" i="1"/>
  <c r="A39" i="1"/>
  <c r="AA39" i="1" s="1"/>
  <c r="A40" i="1"/>
  <c r="AA40" i="1" s="1"/>
  <c r="A41" i="1"/>
  <c r="A42" i="1"/>
  <c r="AA42" i="1" s="1"/>
  <c r="A43" i="1"/>
  <c r="AA43" i="1" s="1"/>
  <c r="A44" i="1"/>
  <c r="A45" i="1"/>
  <c r="AA45" i="1" s="1"/>
  <c r="A46" i="1"/>
  <c r="AA46" i="1" s="1"/>
  <c r="A47" i="1"/>
  <c r="AA47" i="1" s="1"/>
  <c r="A48" i="1"/>
  <c r="AA48" i="1" s="1"/>
  <c r="A49" i="1"/>
  <c r="AA49" i="1" s="1"/>
  <c r="A53" i="1"/>
  <c r="AA53" i="1" s="1"/>
  <c r="A55" i="1"/>
  <c r="AA55" i="1" s="1"/>
  <c r="A56" i="1"/>
  <c r="AA56" i="1" s="1"/>
  <c r="A57" i="1"/>
  <c r="AA57" i="1" s="1"/>
  <c r="A58" i="1"/>
  <c r="AA58" i="1" s="1"/>
  <c r="A60" i="1"/>
  <c r="AA60" i="1" s="1"/>
  <c r="A61" i="1"/>
  <c r="AA61" i="1" s="1"/>
  <c r="A62" i="1"/>
  <c r="AA62" i="1" s="1"/>
  <c r="A13" i="1"/>
  <c r="A14" i="1"/>
  <c r="A81" i="1"/>
  <c r="AA81" i="1" s="1"/>
  <c r="A82" i="1"/>
  <c r="A83" i="1"/>
  <c r="AA83" i="1" s="1"/>
  <c r="A84" i="1"/>
  <c r="A86" i="1"/>
  <c r="AA86" i="1" s="1"/>
  <c r="A87" i="1"/>
  <c r="AA87" i="1" s="1"/>
  <c r="A63" i="1"/>
  <c r="A64" i="1"/>
  <c r="A65" i="1"/>
  <c r="A66" i="1"/>
  <c r="AA66" i="1" s="1"/>
  <c r="A67" i="1"/>
  <c r="AA67" i="1" s="1"/>
  <c r="A68" i="1"/>
  <c r="AA68" i="1" s="1"/>
  <c r="A69" i="1"/>
  <c r="AA69" i="1" s="1"/>
  <c r="A70" i="1"/>
  <c r="AA70" i="1" s="1"/>
  <c r="A71" i="1"/>
  <c r="A73" i="1"/>
  <c r="AA73" i="1" s="1"/>
  <c r="A74" i="1"/>
  <c r="AA74" i="1" s="1"/>
  <c r="A75" i="1"/>
  <c r="AA75" i="1" s="1"/>
  <c r="A77" i="1"/>
  <c r="AA77" i="1" s="1"/>
  <c r="A78" i="1"/>
  <c r="AA78" i="1" s="1"/>
  <c r="A79" i="1"/>
  <c r="A80" i="1"/>
  <c r="AA80" i="1" s="1"/>
  <c r="A88" i="1"/>
  <c r="A89" i="1"/>
  <c r="A90" i="1"/>
  <c r="A91" i="1"/>
  <c r="A92" i="1"/>
  <c r="A93" i="1"/>
  <c r="AA93" i="1" s="1"/>
  <c r="A94" i="1"/>
  <c r="AA94" i="1" s="1"/>
  <c r="A95" i="1"/>
  <c r="A96" i="1"/>
  <c r="A97" i="1"/>
  <c r="AA97" i="1" s="1"/>
  <c r="A99" i="1"/>
  <c r="AA99" i="1" s="1"/>
  <c r="A100" i="1"/>
  <c r="A101" i="1"/>
  <c r="AA101" i="1" s="1"/>
  <c r="A102" i="1"/>
  <c r="AA102" i="1" s="1"/>
  <c r="A103" i="1"/>
  <c r="A104" i="1"/>
  <c r="AA104" i="1" s="1"/>
  <c r="A105" i="1"/>
  <c r="AA105" i="1" s="1"/>
  <c r="A106" i="1"/>
  <c r="A107" i="1"/>
  <c r="A108" i="1"/>
  <c r="AA108" i="1" s="1"/>
  <c r="A109" i="1"/>
  <c r="AA109" i="1" s="1"/>
  <c r="A112" i="1"/>
  <c r="A113" i="1"/>
  <c r="A111" i="1"/>
  <c r="A114" i="1"/>
  <c r="AA114" i="1" s="1"/>
  <c r="A115" i="1"/>
  <c r="AA115" i="1" s="1"/>
  <c r="A138" i="1"/>
  <c r="A136" i="1"/>
  <c r="A139" i="1"/>
  <c r="AA139" i="1" s="1"/>
  <c r="A140" i="1"/>
  <c r="AA140" i="1" s="1"/>
  <c r="A141" i="1"/>
  <c r="AA141" i="1" s="1"/>
  <c r="A137" i="1"/>
  <c r="A142" i="1"/>
  <c r="AA142" i="1" s="1"/>
  <c r="A143" i="1"/>
  <c r="AA143" i="1" s="1"/>
  <c r="A144" i="1"/>
  <c r="AA144" i="1" s="1"/>
  <c r="A145" i="1"/>
  <c r="AA145" i="1" s="1"/>
  <c r="A146" i="1"/>
  <c r="AA146" i="1" s="1"/>
  <c r="A147" i="1"/>
  <c r="AA147" i="1" s="1"/>
  <c r="A148" i="1"/>
  <c r="AA148" i="1" s="1"/>
  <c r="A128" i="1"/>
  <c r="AA128" i="1" s="1"/>
  <c r="A129" i="1"/>
  <c r="AA129" i="1" s="1"/>
  <c r="A130" i="1"/>
  <c r="AA130" i="1" s="1"/>
  <c r="A133" i="1"/>
  <c r="AA133" i="1" s="1"/>
  <c r="A134" i="1"/>
  <c r="AA134" i="1" s="1"/>
  <c r="A126" i="1"/>
  <c r="A135" i="1"/>
  <c r="AA135" i="1" s="1"/>
  <c r="A116" i="1"/>
  <c r="A118" i="1"/>
  <c r="A122" i="1"/>
  <c r="AA122" i="1" s="1"/>
  <c r="A150" i="1"/>
  <c r="A151" i="1"/>
  <c r="A155" i="1"/>
  <c r="AA155" i="1" s="1"/>
  <c r="A156" i="1"/>
  <c r="A157" i="1"/>
  <c r="A160" i="1"/>
  <c r="A154" i="1"/>
  <c r="A158" i="1"/>
  <c r="A149" i="1"/>
  <c r="A159" i="1"/>
  <c r="A161" i="1"/>
  <c r="A163" i="1"/>
  <c r="A164" i="1"/>
  <c r="A165" i="1"/>
  <c r="A166" i="1"/>
  <c r="A167" i="1"/>
  <c r="A168" i="1"/>
  <c r="A250" i="1"/>
  <c r="A251" i="1"/>
  <c r="AA251" i="1" s="1"/>
  <c r="A253" i="1"/>
  <c r="A255" i="1"/>
  <c r="AA255" i="1" s="1"/>
  <c r="A256" i="1"/>
  <c r="AA256" i="1" s="1"/>
  <c r="A170" i="1"/>
  <c r="A171" i="1"/>
  <c r="AA171" i="1" s="1"/>
  <c r="A172" i="1"/>
  <c r="A173" i="1"/>
  <c r="AA173" i="1" s="1"/>
  <c r="A174" i="1"/>
  <c r="AA174" i="1" s="1"/>
  <c r="A175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90" i="1"/>
  <c r="AA190" i="1" s="1"/>
  <c r="A191" i="1"/>
  <c r="A192" i="1"/>
  <c r="A193" i="1"/>
  <c r="A194" i="1"/>
  <c r="A195" i="1"/>
  <c r="AA195" i="1" s="1"/>
  <c r="A196" i="1"/>
  <c r="A197" i="1"/>
  <c r="A198" i="1"/>
  <c r="A258" i="1"/>
  <c r="A259" i="1"/>
  <c r="A260" i="1"/>
  <c r="A199" i="1"/>
  <c r="AA199" i="1" s="1"/>
  <c r="A200" i="1"/>
  <c r="AA200" i="1" s="1"/>
  <c r="A202" i="1"/>
  <c r="A204" i="1"/>
  <c r="AA204" i="1" s="1"/>
  <c r="A205" i="1"/>
  <c r="AA205" i="1" s="1"/>
  <c r="A206" i="1"/>
  <c r="AA206" i="1" s="1"/>
  <c r="A209" i="1"/>
  <c r="AA209" i="1" s="1"/>
  <c r="A210" i="1"/>
  <c r="AA210" i="1" s="1"/>
  <c r="A211" i="1"/>
  <c r="A212" i="1"/>
  <c r="A213" i="1"/>
  <c r="A214" i="1"/>
  <c r="AA214" i="1" s="1"/>
  <c r="A215" i="1"/>
  <c r="AA215" i="1" s="1"/>
  <c r="A216" i="1"/>
  <c r="A217" i="1"/>
  <c r="AA217" i="1" s="1"/>
  <c r="A218" i="1"/>
  <c r="A219" i="1"/>
  <c r="A220" i="1"/>
  <c r="AA220" i="1" s="1"/>
  <c r="A222" i="1"/>
  <c r="AA222" i="1" s="1"/>
  <c r="A223" i="1"/>
  <c r="AA223" i="1" s="1"/>
  <c r="A224" i="1"/>
  <c r="AA224" i="1" s="1"/>
  <c r="A176" i="1"/>
  <c r="A257" i="1"/>
  <c r="A249" i="1"/>
  <c r="A239" i="1"/>
  <c r="A240" i="1"/>
  <c r="A263" i="1"/>
  <c r="A264" i="1"/>
  <c r="A265" i="1"/>
  <c r="A266" i="1"/>
  <c r="A308" i="1"/>
  <c r="A267" i="1"/>
  <c r="AA267" i="1" s="1"/>
  <c r="A268" i="1"/>
  <c r="AA268" i="1" s="1"/>
  <c r="A269" i="1"/>
  <c r="AA269" i="1" s="1"/>
  <c r="A270" i="1"/>
  <c r="AA270" i="1" s="1"/>
  <c r="A271" i="1"/>
  <c r="AA271" i="1" s="1"/>
  <c r="A272" i="1"/>
  <c r="A273" i="1"/>
  <c r="AA273" i="1" s="1"/>
  <c r="A274" i="1"/>
  <c r="AA274" i="1" s="1"/>
  <c r="A275" i="1"/>
  <c r="AA275" i="1" s="1"/>
  <c r="A276" i="1"/>
  <c r="AA276" i="1" s="1"/>
  <c r="A277" i="1"/>
  <c r="AA277" i="1" s="1"/>
  <c r="A278" i="1"/>
  <c r="A279" i="1"/>
  <c r="AA279" i="1" s="1"/>
  <c r="A280" i="1"/>
  <c r="AA280" i="1" s="1"/>
  <c r="A281" i="1"/>
  <c r="AA281" i="1" s="1"/>
  <c r="A283" i="1"/>
  <c r="AA283" i="1" s="1"/>
  <c r="A297" i="1"/>
  <c r="A298" i="1"/>
  <c r="A299" i="1"/>
  <c r="A300" i="1"/>
  <c r="A301" i="1"/>
  <c r="A303" i="1"/>
  <c r="A304" i="1"/>
  <c r="AA304" i="1" s="1"/>
  <c r="A284" i="1"/>
  <c r="A285" i="1"/>
  <c r="A287" i="1"/>
  <c r="A288" i="1"/>
  <c r="AA288" i="1" s="1"/>
  <c r="A289" i="1"/>
  <c r="AA289" i="1" s="1"/>
  <c r="A290" i="1"/>
  <c r="AA290" i="1" s="1"/>
  <c r="A291" i="1"/>
  <c r="AA291" i="1" s="1"/>
  <c r="A292" i="1"/>
  <c r="AA292" i="1" s="1"/>
  <c r="A293" i="1"/>
  <c r="AA293" i="1" s="1"/>
  <c r="A294" i="1"/>
  <c r="A295" i="1"/>
  <c r="AA295" i="1" s="1"/>
  <c r="A296" i="1"/>
  <c r="AA296" i="1" s="1"/>
  <c r="A262" i="1"/>
  <c r="A261" i="1"/>
  <c r="A307" i="1"/>
  <c r="A306" i="1"/>
  <c r="A305" i="1"/>
  <c r="A315" i="1"/>
  <c r="A309" i="1"/>
  <c r="AA309" i="1" s="1"/>
  <c r="A313" i="1"/>
  <c r="A314" i="1"/>
  <c r="A310" i="1"/>
  <c r="A311" i="1"/>
  <c r="A312" i="1"/>
  <c r="A316" i="1"/>
  <c r="A317" i="1"/>
  <c r="A318" i="1"/>
  <c r="A319" i="1"/>
  <c r="A320" i="1"/>
  <c r="AA320" i="1" s="1"/>
  <c r="A321" i="1"/>
  <c r="A322" i="1"/>
  <c r="A323" i="1"/>
  <c r="AA323" i="1" s="1"/>
  <c r="A324" i="1"/>
  <c r="A325" i="1"/>
  <c r="A343" i="1"/>
  <c r="A326" i="1"/>
  <c r="A327" i="1"/>
  <c r="AA327" i="1" s="1"/>
  <c r="A328" i="1"/>
  <c r="AA328" i="1" s="1"/>
  <c r="A329" i="1"/>
  <c r="A330" i="1"/>
  <c r="AA330" i="1" s="1"/>
  <c r="A331" i="1"/>
  <c r="AA331" i="1" s="1"/>
  <c r="A332" i="1"/>
  <c r="AA332" i="1" s="1"/>
  <c r="A333" i="1"/>
  <c r="AA333" i="1" s="1"/>
  <c r="A334" i="1"/>
  <c r="A335" i="1"/>
  <c r="AA335" i="1" s="1"/>
  <c r="A336" i="1"/>
  <c r="A337" i="1"/>
  <c r="AA337" i="1" s="1"/>
  <c r="A338" i="1"/>
  <c r="A339" i="1"/>
  <c r="AA339" i="1" s="1"/>
  <c r="A340" i="1"/>
  <c r="AA340" i="1" s="1"/>
  <c r="A344" i="1"/>
  <c r="A345" i="1"/>
  <c r="A346" i="1"/>
  <c r="A347" i="1"/>
  <c r="A342" i="1"/>
  <c r="AA342" i="1" s="1"/>
  <c r="A348" i="1"/>
  <c r="A349" i="1"/>
  <c r="A350" i="1"/>
  <c r="A382" i="1"/>
  <c r="A383" i="1"/>
  <c r="AA383" i="1" s="1"/>
  <c r="A384" i="1"/>
  <c r="A386" i="1"/>
  <c r="A387" i="1"/>
  <c r="AA387" i="1" s="1"/>
  <c r="A388" i="1"/>
  <c r="AA388" i="1" s="1"/>
  <c r="A389" i="1"/>
  <c r="AA389" i="1" s="1"/>
  <c r="A391" i="1"/>
  <c r="A392" i="1"/>
  <c r="AA392" i="1" s="1"/>
  <c r="A393" i="1"/>
  <c r="A374" i="1"/>
  <c r="A375" i="1"/>
  <c r="AA375" i="1" s="1"/>
  <c r="A376" i="1"/>
  <c r="A378" i="1"/>
  <c r="AA378" i="1" s="1"/>
  <c r="A380" i="1"/>
  <c r="A381" i="1"/>
  <c r="A394" i="1"/>
  <c r="A395" i="1"/>
  <c r="A396" i="1"/>
  <c r="A397" i="1"/>
  <c r="A398" i="1"/>
  <c r="A399" i="1"/>
  <c r="A400" i="1"/>
  <c r="A401" i="1"/>
  <c r="A402" i="1"/>
  <c r="A403" i="1"/>
  <c r="A406" i="1"/>
  <c r="AA406" i="1" s="1"/>
  <c r="A407" i="1"/>
  <c r="AA407" i="1" s="1"/>
  <c r="A408" i="1"/>
  <c r="AA408" i="1" s="1"/>
  <c r="A411" i="1"/>
  <c r="AA411" i="1" s="1"/>
  <c r="A414" i="1"/>
  <c r="AA414" i="1" s="1"/>
  <c r="A415" i="1"/>
  <c r="AA415" i="1" s="1"/>
  <c r="A416" i="1"/>
  <c r="AA416" i="1" s="1"/>
  <c r="A417" i="1"/>
  <c r="AA417" i="1" s="1"/>
  <c r="A418" i="1"/>
  <c r="AA418" i="1" s="1"/>
  <c r="A419" i="1"/>
  <c r="AA419" i="1" s="1"/>
  <c r="A421" i="1"/>
  <c r="AA421" i="1" s="1"/>
  <c r="A422" i="1"/>
  <c r="AA422" i="1" s="1"/>
  <c r="A423" i="1"/>
  <c r="AA423" i="1" s="1"/>
  <c r="A425" i="1"/>
  <c r="AA425" i="1" s="1"/>
  <c r="A427" i="1"/>
  <c r="AA427" i="1" s="1"/>
  <c r="A428" i="1"/>
  <c r="AA428" i="1" s="1"/>
  <c r="A431" i="1"/>
  <c r="AA431" i="1" s="1"/>
  <c r="A432" i="1"/>
  <c r="AA432" i="1" s="1"/>
  <c r="A436" i="1"/>
  <c r="AA436" i="1" s="1"/>
  <c r="A437" i="1"/>
  <c r="AA437" i="1" s="1"/>
  <c r="A438" i="1"/>
  <c r="AA438" i="1" s="1"/>
  <c r="A439" i="1"/>
  <c r="AA439" i="1" s="1"/>
  <c r="A440" i="1"/>
  <c r="AA440" i="1" s="1"/>
  <c r="A441" i="1"/>
  <c r="AA441" i="1" s="1"/>
  <c r="A442" i="1"/>
  <c r="AA442" i="1" s="1"/>
  <c r="A443" i="1"/>
  <c r="A444" i="1"/>
  <c r="A446" i="1"/>
  <c r="A447" i="1"/>
  <c r="A448" i="1"/>
  <c r="AA448" i="1" s="1"/>
  <c r="A449" i="1"/>
  <c r="A450" i="1"/>
  <c r="A451" i="1"/>
  <c r="AA451" i="1" s="1"/>
  <c r="A452" i="1"/>
  <c r="AA452" i="1" s="1"/>
  <c r="A457" i="1"/>
  <c r="A453" i="1"/>
  <c r="AA453" i="1" s="1"/>
  <c r="A454" i="1"/>
  <c r="AA454" i="1" s="1"/>
  <c r="A458" i="1"/>
  <c r="A459" i="1"/>
  <c r="A501" i="1"/>
  <c r="A461" i="1"/>
  <c r="A462" i="1"/>
  <c r="A463" i="1"/>
  <c r="AA463" i="1" s="1"/>
  <c r="A464" i="1"/>
  <c r="AA464" i="1" s="1"/>
  <c r="A465" i="1"/>
  <c r="AA465" i="1" s="1"/>
  <c r="A467" i="1"/>
  <c r="A468" i="1"/>
  <c r="AA468" i="1" s="1"/>
  <c r="A502" i="1"/>
  <c r="A469" i="1"/>
  <c r="AA469" i="1" s="1"/>
  <c r="A503" i="1"/>
  <c r="A470" i="1"/>
  <c r="AA470" i="1" s="1"/>
  <c r="A471" i="1"/>
  <c r="AA471" i="1" s="1"/>
  <c r="A474" i="1"/>
  <c r="A478" i="1"/>
  <c r="AA478" i="1" s="1"/>
  <c r="A479" i="1"/>
  <c r="AA479" i="1" s="1"/>
  <c r="A482" i="1"/>
  <c r="AA482" i="1" s="1"/>
  <c r="A483" i="1"/>
  <c r="A487" i="1"/>
  <c r="AA487" i="1" s="1"/>
  <c r="A488" i="1"/>
  <c r="AA488" i="1" s="1"/>
  <c r="A489" i="1"/>
  <c r="AA489" i="1" s="1"/>
  <c r="A504" i="1"/>
  <c r="A490" i="1"/>
  <c r="AA490" i="1" s="1"/>
  <c r="A491" i="1"/>
  <c r="AA491" i="1" s="1"/>
  <c r="A492" i="1"/>
  <c r="AA492" i="1" s="1"/>
  <c r="A493" i="1"/>
  <c r="AA493" i="1" s="1"/>
  <c r="A495" i="1"/>
  <c r="AA495" i="1" s="1"/>
  <c r="A496" i="1"/>
  <c r="AA496" i="1" s="1"/>
  <c r="A497" i="1"/>
  <c r="AA497" i="1" s="1"/>
  <c r="A498" i="1"/>
  <c r="A499" i="1"/>
  <c r="AA499" i="1" s="1"/>
  <c r="A500" i="1"/>
  <c r="AA500" i="1" s="1"/>
  <c r="A517" i="1"/>
  <c r="A519" i="1"/>
  <c r="AA519" i="1" s="1"/>
  <c r="A520" i="1"/>
  <c r="AA520" i="1" s="1"/>
  <c r="A521" i="1"/>
  <c r="AA521" i="1" s="1"/>
  <c r="A523" i="1"/>
  <c r="AA523" i="1" s="1"/>
  <c r="A524" i="1"/>
  <c r="A525" i="1"/>
  <c r="AA525" i="1" s="1"/>
  <c r="A526" i="1"/>
  <c r="AA526" i="1" s="1"/>
  <c r="A527" i="1"/>
  <c r="AA527" i="1" s="1"/>
  <c r="A528" i="1"/>
  <c r="AA528" i="1" s="1"/>
  <c r="A529" i="1"/>
  <c r="AA529" i="1" s="1"/>
  <c r="A530" i="1"/>
  <c r="AA530" i="1" s="1"/>
  <c r="A531" i="1"/>
  <c r="A532" i="1"/>
  <c r="AA532" i="1" s="1"/>
  <c r="A533" i="1"/>
  <c r="AA533" i="1" s="1"/>
  <c r="A534" i="1"/>
  <c r="AA534" i="1" s="1"/>
  <c r="A535" i="1"/>
  <c r="AA535" i="1" s="1"/>
  <c r="A536" i="1"/>
  <c r="AA536" i="1" s="1"/>
  <c r="A537" i="1"/>
  <c r="AA537" i="1" s="1"/>
  <c r="A538" i="1"/>
  <c r="A508" i="1"/>
  <c r="A509" i="1"/>
  <c r="A510" i="1"/>
  <c r="AA510" i="1" s="1"/>
  <c r="A511" i="1"/>
  <c r="AA511" i="1" s="1"/>
  <c r="A512" i="1"/>
  <c r="AA512" i="1" s="1"/>
  <c r="A513" i="1"/>
  <c r="A514" i="1"/>
  <c r="AA514" i="1" s="1"/>
  <c r="A515" i="1"/>
  <c r="AA515" i="1" s="1"/>
  <c r="A516" i="1"/>
  <c r="A539" i="1"/>
  <c r="A505" i="1"/>
  <c r="A506" i="1"/>
  <c r="A540" i="1"/>
  <c r="A507" i="1"/>
  <c r="A542" i="1"/>
  <c r="A543" i="1"/>
  <c r="AA543" i="1" s="1"/>
  <c r="A544" i="1"/>
  <c r="AA544" i="1" s="1"/>
  <c r="A545" i="1"/>
  <c r="AA545" i="1" s="1"/>
  <c r="A546" i="1"/>
  <c r="AA546" i="1" s="1"/>
  <c r="A547" i="1"/>
  <c r="AA547" i="1" s="1"/>
  <c r="A548" i="1"/>
  <c r="AA548" i="1" s="1"/>
  <c r="A549" i="1"/>
  <c r="AA549" i="1" s="1"/>
  <c r="A550" i="1"/>
  <c r="AA550" i="1" s="1"/>
  <c r="A552" i="1"/>
  <c r="AA552" i="1" s="1"/>
  <c r="A553" i="1"/>
  <c r="AA553" i="1" s="1"/>
  <c r="A554" i="1"/>
  <c r="A556" i="1"/>
  <c r="AA556" i="1" s="1"/>
  <c r="A557" i="1"/>
  <c r="AA557" i="1" s="1"/>
  <c r="A558" i="1"/>
  <c r="AA558" i="1" s="1"/>
  <c r="A559" i="1"/>
  <c r="AA559" i="1" s="1"/>
  <c r="A551" i="1"/>
  <c r="A555" i="1"/>
  <c r="A579" i="1"/>
  <c r="AA579" i="1" s="1"/>
  <c r="A580" i="1"/>
  <c r="AA580" i="1" s="1"/>
  <c r="A570" i="1"/>
  <c r="A571" i="1"/>
  <c r="AA571" i="1" s="1"/>
  <c r="A574" i="1"/>
  <c r="A575" i="1"/>
  <c r="AA575" i="1" s="1"/>
  <c r="A576" i="1"/>
  <c r="AA576" i="1" s="1"/>
  <c r="A569" i="1"/>
  <c r="A577" i="1"/>
  <c r="AA577" i="1" s="1"/>
  <c r="A568" i="1"/>
  <c r="AA568" i="1" s="1"/>
  <c r="A566" i="1"/>
  <c r="A567" i="1"/>
  <c r="A565" i="1"/>
  <c r="A581" i="1"/>
  <c r="A582" i="1"/>
  <c r="A584" i="1"/>
  <c r="AA584" i="1" s="1"/>
  <c r="A585" i="1"/>
  <c r="A586" i="1"/>
  <c r="AA586" i="1" s="1"/>
  <c r="A587" i="1"/>
  <c r="AA587" i="1" s="1"/>
  <c r="A588" i="1"/>
  <c r="AA588" i="1" s="1"/>
  <c r="A590" i="1"/>
  <c r="AA590" i="1" s="1"/>
  <c r="A593" i="1"/>
  <c r="A594" i="1"/>
  <c r="A607" i="1"/>
  <c r="A608" i="1"/>
  <c r="A597" i="1"/>
  <c r="AA597" i="1" s="1"/>
  <c r="A598" i="1"/>
  <c r="AA598" i="1" s="1"/>
  <c r="A600" i="1"/>
  <c r="AA600" i="1" s="1"/>
  <c r="A601" i="1"/>
  <c r="A602" i="1"/>
  <c r="A603" i="1"/>
  <c r="A604" i="1"/>
  <c r="AA604" i="1" s="1"/>
  <c r="A605" i="1"/>
  <c r="AA605" i="1" s="1"/>
  <c r="A606" i="1"/>
  <c r="AA606" i="1" s="1"/>
  <c r="A609" i="1"/>
  <c r="A616" i="1"/>
  <c r="A612" i="1"/>
  <c r="A613" i="1"/>
  <c r="A614" i="1"/>
  <c r="AA614" i="1" s="1"/>
  <c r="A615" i="1"/>
  <c r="AA615" i="1" s="1"/>
  <c r="A610" i="1"/>
  <c r="A611" i="1"/>
  <c r="A617" i="1"/>
  <c r="A618" i="1"/>
  <c r="A619" i="1"/>
  <c r="A620" i="1"/>
  <c r="A621" i="1"/>
  <c r="A623" i="1"/>
  <c r="A624" i="1"/>
  <c r="AA624" i="1" s="1"/>
  <c r="A625" i="1"/>
  <c r="AA625" i="1" s="1"/>
  <c r="A627" i="1"/>
  <c r="AA627" i="1" s="1"/>
  <c r="A628" i="1"/>
  <c r="A629" i="1"/>
  <c r="A632" i="1"/>
  <c r="A635" i="1"/>
  <c r="A633" i="1"/>
  <c r="A634" i="1"/>
  <c r="AA634" i="1" s="1"/>
  <c r="A636" i="1"/>
  <c r="A637" i="1"/>
  <c r="A641" i="1"/>
  <c r="A642" i="1"/>
  <c r="A638" i="1"/>
  <c r="AA638" i="1" s="1"/>
  <c r="A639" i="1"/>
  <c r="AA639" i="1" s="1"/>
  <c r="A640" i="1"/>
  <c r="A643" i="1"/>
  <c r="A644" i="1"/>
  <c r="A667" i="1"/>
  <c r="A646" i="1"/>
  <c r="AA646" i="1" s="1"/>
  <c r="A647" i="1"/>
  <c r="AA647" i="1" s="1"/>
  <c r="A648" i="1"/>
  <c r="AA648" i="1" s="1"/>
  <c r="A649" i="1"/>
  <c r="AA649" i="1" s="1"/>
  <c r="A651" i="1"/>
  <c r="AA651" i="1" s="1"/>
  <c r="A653" i="1"/>
  <c r="AA653" i="1" s="1"/>
  <c r="A654" i="1"/>
  <c r="AA654" i="1" s="1"/>
  <c r="A655" i="1"/>
  <c r="A656" i="1"/>
  <c r="AA656" i="1" s="1"/>
  <c r="A657" i="1"/>
  <c r="AA657" i="1" s="1"/>
  <c r="A660" i="1"/>
  <c r="AA660" i="1" s="1"/>
  <c r="A661" i="1"/>
  <c r="AA661" i="1" s="1"/>
  <c r="A662" i="1"/>
  <c r="AA662" i="1" s="1"/>
  <c r="A668" i="1"/>
  <c r="A663" i="1"/>
  <c r="AA663" i="1" s="1"/>
  <c r="A664" i="1"/>
  <c r="AA664" i="1" s="1"/>
  <c r="A665" i="1"/>
  <c r="AA665" i="1" s="1"/>
  <c r="A666" i="1"/>
  <c r="AA666" i="1" s="1"/>
  <c r="A669" i="1"/>
  <c r="A670" i="1"/>
  <c r="A674" i="1"/>
  <c r="A675" i="1"/>
  <c r="A676" i="1"/>
  <c r="AA676" i="1" s="1"/>
  <c r="A677" i="1"/>
  <c r="A692" i="1"/>
  <c r="A680" i="1"/>
  <c r="A681" i="1"/>
  <c r="A683" i="1"/>
  <c r="AA683" i="1" s="1"/>
  <c r="A686" i="1"/>
  <c r="A671" i="1"/>
  <c r="A687" i="1"/>
  <c r="A688" i="1"/>
  <c r="A691" i="1"/>
  <c r="A690" i="1"/>
  <c r="A672" i="1"/>
  <c r="A673" i="1"/>
  <c r="A689" i="1"/>
  <c r="A708" i="1"/>
  <c r="A707" i="1"/>
  <c r="A693" i="1"/>
  <c r="AA693" i="1" s="1"/>
  <c r="A694" i="1"/>
  <c r="AA694" i="1" s="1"/>
  <c r="A695" i="1"/>
  <c r="AA695" i="1" s="1"/>
  <c r="A696" i="1"/>
  <c r="A705" i="1"/>
  <c r="A698" i="1"/>
  <c r="AA698" i="1" s="1"/>
  <c r="A699" i="1"/>
  <c r="AA699" i="1" s="1"/>
  <c r="A700" i="1"/>
  <c r="AA700" i="1" s="1"/>
  <c r="A701" i="1"/>
  <c r="AA701" i="1" s="1"/>
  <c r="A706" i="1"/>
  <c r="A709" i="1"/>
  <c r="AA709" i="1" s="1"/>
  <c r="A710" i="1"/>
  <c r="A807" i="1"/>
  <c r="A808" i="1"/>
  <c r="AA808" i="1" s="1"/>
  <c r="A809" i="1"/>
  <c r="A736" i="1"/>
  <c r="AA736" i="1" s="1"/>
  <c r="A714" i="1"/>
  <c r="A715" i="1"/>
  <c r="AA715" i="1" s="1"/>
  <c r="A716" i="1"/>
  <c r="AA716" i="1" s="1"/>
  <c r="A717" i="1"/>
  <c r="AA717" i="1" s="1"/>
  <c r="A718" i="1"/>
  <c r="AA718" i="1" s="1"/>
  <c r="A719" i="1"/>
  <c r="AA719" i="1" s="1"/>
  <c r="A720" i="1"/>
  <c r="AA720" i="1" s="1"/>
  <c r="A721" i="1"/>
  <c r="AA721" i="1" s="1"/>
  <c r="A722" i="1"/>
  <c r="A723" i="1"/>
  <c r="AA723" i="1" s="1"/>
  <c r="A724" i="1"/>
  <c r="AA724" i="1" s="1"/>
  <c r="A713" i="1"/>
  <c r="A711" i="1"/>
  <c r="A761" i="1"/>
  <c r="A785" i="1"/>
  <c r="A786" i="1"/>
  <c r="A804" i="1"/>
  <c r="A762" i="1"/>
  <c r="A763" i="1"/>
  <c r="A764" i="1"/>
  <c r="A765" i="1"/>
  <c r="A766" i="1"/>
  <c r="A805" i="1"/>
  <c r="A806" i="1"/>
  <c r="A787" i="1"/>
  <c r="A788" i="1"/>
  <c r="A789" i="1"/>
  <c r="A800" i="1"/>
  <c r="A734" i="1"/>
  <c r="A817" i="1"/>
  <c r="A818" i="1"/>
  <c r="AA818" i="1" s="1"/>
  <c r="A819" i="1"/>
  <c r="AA819" i="1" s="1"/>
  <c r="A820" i="1"/>
  <c r="AA820" i="1" s="1"/>
  <c r="A821" i="1"/>
  <c r="AA821" i="1" s="1"/>
  <c r="A822" i="1"/>
  <c r="AA822" i="1" s="1"/>
  <c r="A823" i="1"/>
  <c r="AA823" i="1" s="1"/>
  <c r="A826" i="1"/>
  <c r="AA826" i="1" s="1"/>
  <c r="A827" i="1"/>
  <c r="AA827" i="1" s="1"/>
  <c r="A828" i="1"/>
  <c r="AA828" i="1" s="1"/>
  <c r="A829" i="1"/>
  <c r="AA829" i="1" s="1"/>
  <c r="A830" i="1"/>
  <c r="AA830" i="1" s="1"/>
  <c r="A831" i="1"/>
  <c r="A925" i="1"/>
  <c r="A832" i="1"/>
  <c r="A834" i="1"/>
  <c r="A926" i="1"/>
  <c r="A927" i="1"/>
  <c r="A835" i="1"/>
  <c r="A928" i="1"/>
  <c r="A836" i="1"/>
  <c r="A929" i="1"/>
  <c r="A811" i="1"/>
  <c r="A922" i="1"/>
  <c r="A947" i="1"/>
  <c r="A812" i="1"/>
  <c r="A816" i="1"/>
  <c r="A813" i="1"/>
  <c r="A814" i="1"/>
  <c r="A815" i="1"/>
  <c r="A841" i="1"/>
  <c r="A837" i="1"/>
  <c r="A923" i="1"/>
  <c r="A924" i="1"/>
  <c r="A838" i="1"/>
  <c r="A945" i="1"/>
  <c r="A921" i="1"/>
  <c r="A839" i="1"/>
  <c r="A908" i="1"/>
  <c r="A909" i="1"/>
  <c r="A912" i="1"/>
  <c r="A913" i="1"/>
  <c r="A914" i="1"/>
  <c r="AA914" i="1" s="1"/>
  <c r="A915" i="1"/>
  <c r="AA915" i="1" s="1"/>
  <c r="A910" i="1"/>
  <c r="A907" i="1"/>
  <c r="AA907" i="1" s="1"/>
  <c r="A916" i="1"/>
  <c r="AA916" i="1" s="1"/>
  <c r="A917" i="1"/>
  <c r="A918" i="1"/>
  <c r="AA918" i="1" s="1"/>
  <c r="A911" i="1"/>
  <c r="A920" i="1"/>
  <c r="AA920" i="1" s="1"/>
  <c r="A872" i="1"/>
  <c r="AA872" i="1" s="1"/>
  <c r="A873" i="1"/>
  <c r="AA873" i="1" s="1"/>
  <c r="A874" i="1"/>
  <c r="AA874" i="1" s="1"/>
  <c r="A875" i="1"/>
  <c r="A851" i="1"/>
  <c r="A853" i="1"/>
  <c r="AA853" i="1" s="1"/>
  <c r="A854" i="1"/>
  <c r="AA854" i="1" s="1"/>
  <c r="A855" i="1"/>
  <c r="AA855" i="1" s="1"/>
  <c r="A856" i="1"/>
  <c r="AA856" i="1" s="1"/>
  <c r="A857" i="1"/>
  <c r="AA857" i="1" s="1"/>
  <c r="A858" i="1"/>
  <c r="AA858" i="1" s="1"/>
  <c r="A859" i="1"/>
  <c r="AA859" i="1" s="1"/>
  <c r="A860" i="1"/>
  <c r="AA860" i="1" s="1"/>
  <c r="A861" i="1"/>
  <c r="AA861" i="1" s="1"/>
  <c r="A862" i="1"/>
  <c r="AA862" i="1" s="1"/>
  <c r="A863" i="1"/>
  <c r="AA863" i="1" s="1"/>
  <c r="A849" i="1"/>
  <c r="A850" i="1"/>
  <c r="A864" i="1"/>
  <c r="AA864" i="1" s="1"/>
  <c r="A865" i="1"/>
  <c r="AA865" i="1" s="1"/>
  <c r="A866" i="1"/>
  <c r="AA866" i="1" s="1"/>
  <c r="A867" i="1"/>
  <c r="AA867" i="1" s="1"/>
  <c r="A876" i="1"/>
  <c r="A877" i="1"/>
  <c r="A878" i="1"/>
  <c r="AA878" i="1" s="1"/>
  <c r="A879" i="1"/>
  <c r="AA879" i="1" s="1"/>
  <c r="A880" i="1"/>
  <c r="A881" i="1"/>
  <c r="AA881" i="1" s="1"/>
  <c r="A882" i="1"/>
  <c r="A885" i="1"/>
  <c r="AA885" i="1" s="1"/>
  <c r="A886" i="1"/>
  <c r="AA886" i="1" s="1"/>
  <c r="A887" i="1"/>
  <c r="A842" i="1"/>
  <c r="A871" i="1"/>
  <c r="A888" i="1"/>
  <c r="A868" i="1"/>
  <c r="A870" i="1"/>
  <c r="A848" i="1"/>
  <c r="A904" i="1"/>
  <c r="A905" i="1"/>
  <c r="A906" i="1"/>
  <c r="A930" i="1"/>
  <c r="AA930" i="1" s="1"/>
  <c r="A931" i="1"/>
  <c r="A932" i="1"/>
  <c r="AA932" i="1" s="1"/>
  <c r="A933" i="1"/>
  <c r="AA933" i="1" s="1"/>
  <c r="A934" i="1"/>
  <c r="AA934" i="1" s="1"/>
  <c r="A935" i="1"/>
  <c r="AA935" i="1" s="1"/>
  <c r="A936" i="1"/>
  <c r="AA936" i="1" s="1"/>
  <c r="A937" i="1"/>
  <c r="AA937" i="1" s="1"/>
  <c r="A938" i="1"/>
  <c r="AA938" i="1" s="1"/>
  <c r="A939" i="1"/>
  <c r="AA939" i="1" s="1"/>
  <c r="A951" i="1"/>
  <c r="AA951" i="1" s="1"/>
  <c r="A948" i="1"/>
  <c r="A949" i="1"/>
  <c r="A950" i="1"/>
  <c r="A952" i="1"/>
  <c r="A956" i="1"/>
  <c r="A953" i="1"/>
  <c r="A954" i="1"/>
  <c r="A955" i="1"/>
  <c r="A971" i="1"/>
  <c r="A972" i="1"/>
  <c r="A990" i="1"/>
  <c r="A973" i="1"/>
  <c r="A974" i="1"/>
  <c r="AA974" i="1" s="1"/>
  <c r="A975" i="1"/>
  <c r="A976" i="1"/>
  <c r="A978" i="1"/>
  <c r="AA978" i="1" s="1"/>
  <c r="A979" i="1"/>
  <c r="AA979" i="1" s="1"/>
  <c r="A980" i="1"/>
  <c r="AA980" i="1" s="1"/>
  <c r="A982" i="1"/>
  <c r="A983" i="1"/>
  <c r="A985" i="1"/>
  <c r="AA985" i="1" s="1"/>
  <c r="A991" i="1"/>
  <c r="A986" i="1"/>
  <c r="A987" i="1"/>
  <c r="A988" i="1"/>
  <c r="AA988" i="1" s="1"/>
  <c r="A989" i="1"/>
  <c r="AA989" i="1" s="1"/>
  <c r="A1000" i="1"/>
  <c r="A1001" i="1"/>
  <c r="A1002" i="1"/>
  <c r="AA1002" i="1" s="1"/>
  <c r="A1003" i="1"/>
  <c r="AA1003" i="1" s="1"/>
  <c r="A1004" i="1"/>
  <c r="AA1004" i="1" s="1"/>
  <c r="A1005" i="1"/>
  <c r="AA1005" i="1" s="1"/>
  <c r="A1006" i="1"/>
  <c r="AA1006" i="1" s="1"/>
  <c r="A1035" i="1"/>
  <c r="A1036" i="1"/>
  <c r="A1037" i="1"/>
  <c r="AA1037" i="1" s="1"/>
  <c r="A1038" i="1"/>
  <c r="AA1038" i="1" s="1"/>
  <c r="A994" i="1"/>
  <c r="A1039" i="1"/>
  <c r="A1040" i="1"/>
  <c r="A1041" i="1"/>
  <c r="AA1041" i="1" s="1"/>
  <c r="A1072" i="1"/>
  <c r="A1073" i="1"/>
  <c r="A1074" i="1"/>
  <c r="A1075" i="1"/>
  <c r="A1076" i="1"/>
  <c r="A1078" i="1"/>
  <c r="A1079" i="1"/>
  <c r="A1080" i="1"/>
  <c r="A1077" i="1"/>
  <c r="A1082" i="1"/>
  <c r="A1083" i="1"/>
  <c r="AA1083" i="1" s="1"/>
  <c r="A1071" i="1"/>
  <c r="A1087" i="1"/>
  <c r="A1088" i="1"/>
  <c r="A1091" i="1"/>
  <c r="A1090" i="1"/>
  <c r="A1093" i="1"/>
  <c r="AA1093" i="1" s="1"/>
  <c r="A1094" i="1"/>
  <c r="A351" i="1"/>
  <c r="AA351" i="1" s="1"/>
  <c r="A352" i="1"/>
  <c r="AA352" i="1" s="1"/>
  <c r="A353" i="1"/>
  <c r="AA353" i="1" s="1"/>
  <c r="A354" i="1"/>
  <c r="A355" i="1"/>
  <c r="AA355" i="1" s="1"/>
  <c r="A356" i="1"/>
  <c r="AA356" i="1" s="1"/>
  <c r="A357" i="1"/>
  <c r="AA357" i="1" s="1"/>
  <c r="A358" i="1"/>
  <c r="AA358" i="1" s="1"/>
  <c r="A359" i="1"/>
  <c r="AA359" i="1" s="1"/>
  <c r="A360" i="1"/>
  <c r="AA360" i="1" s="1"/>
  <c r="A361" i="1"/>
  <c r="AA361" i="1" s="1"/>
  <c r="A362" i="1"/>
  <c r="AA362" i="1" s="1"/>
  <c r="A364" i="1"/>
  <c r="AA364" i="1" s="1"/>
  <c r="A366" i="1"/>
  <c r="AA366" i="1" s="1"/>
  <c r="A367" i="1"/>
  <c r="AA367" i="1" s="1"/>
  <c r="A368" i="1"/>
  <c r="AA368" i="1" s="1"/>
  <c r="A369" i="1"/>
  <c r="AA369" i="1" s="1"/>
  <c r="A370" i="1"/>
  <c r="AA370" i="1" s="1"/>
  <c r="A371" i="1"/>
  <c r="AA371" i="1" s="1"/>
  <c r="A372" i="1"/>
  <c r="AA372" i="1" s="1"/>
  <c r="A373" i="1"/>
  <c r="AA373" i="1" s="1"/>
  <c r="A541" i="1"/>
  <c r="AA541" i="1" s="1"/>
  <c r="A560" i="1"/>
  <c r="AA560" i="1" s="1"/>
  <c r="A561" i="1"/>
  <c r="AA561" i="1" s="1"/>
  <c r="A562" i="1"/>
  <c r="AA562" i="1" s="1"/>
  <c r="A563" i="1"/>
  <c r="AA563" i="1" s="1"/>
  <c r="A564" i="1"/>
  <c r="AA564" i="1" s="1"/>
  <c r="A790" i="1"/>
  <c r="A791" i="1"/>
  <c r="AA791" i="1" s="1"/>
  <c r="A725" i="1"/>
  <c r="A727" i="1"/>
  <c r="AA727" i="1" s="1"/>
  <c r="A729" i="1"/>
  <c r="AA729" i="1" s="1"/>
  <c r="A730" i="1"/>
  <c r="AA730" i="1" s="1"/>
  <c r="A731" i="1"/>
  <c r="AA731" i="1" s="1"/>
  <c r="A732" i="1"/>
  <c r="AA732" i="1" s="1"/>
  <c r="A733" i="1"/>
  <c r="AA733" i="1" s="1"/>
  <c r="A801" i="1"/>
  <c r="A712" i="1"/>
  <c r="AA712" i="1" s="1"/>
  <c r="A803" i="1"/>
  <c r="AA803" i="1" s="1"/>
  <c r="A737" i="1"/>
  <c r="A738" i="1"/>
  <c r="AA738" i="1" s="1"/>
  <c r="A739" i="1"/>
  <c r="AA739" i="1" s="1"/>
  <c r="A740" i="1"/>
  <c r="AA740" i="1" s="1"/>
  <c r="A741" i="1"/>
  <c r="AA741" i="1" s="1"/>
  <c r="A742" i="1"/>
  <c r="AA742" i="1" s="1"/>
  <c r="A745" i="1"/>
  <c r="AA745" i="1" s="1"/>
  <c r="A746" i="1"/>
  <c r="AA746" i="1" s="1"/>
  <c r="A747" i="1"/>
  <c r="AA747" i="1" s="1"/>
  <c r="A748" i="1"/>
  <c r="AA748" i="1" s="1"/>
  <c r="A749" i="1"/>
  <c r="AA749" i="1" s="1"/>
  <c r="A750" i="1"/>
  <c r="AA750" i="1" s="1"/>
  <c r="A751" i="1"/>
  <c r="AA751" i="1" s="1"/>
  <c r="A752" i="1"/>
  <c r="AA752" i="1" s="1"/>
  <c r="A753" i="1"/>
  <c r="AA753" i="1" s="1"/>
  <c r="A754" i="1"/>
  <c r="AA754" i="1" s="1"/>
  <c r="A755" i="1"/>
  <c r="AA755" i="1" s="1"/>
  <c r="A756" i="1"/>
  <c r="AA756" i="1" s="1"/>
  <c r="A757" i="1"/>
  <c r="AA757" i="1" s="1"/>
  <c r="A758" i="1"/>
  <c r="AA758" i="1" s="1"/>
  <c r="A759" i="1"/>
  <c r="AA759" i="1" s="1"/>
  <c r="A760" i="1"/>
  <c r="AA760" i="1" s="1"/>
  <c r="A793" i="1"/>
  <c r="AA793" i="1" s="1"/>
  <c r="A794" i="1"/>
  <c r="AA794" i="1" s="1"/>
  <c r="A795" i="1"/>
  <c r="AA795" i="1" s="1"/>
  <c r="A796" i="1"/>
  <c r="AA796" i="1" s="1"/>
  <c r="A797" i="1"/>
  <c r="AA797" i="1" s="1"/>
  <c r="A798" i="1"/>
  <c r="AA798" i="1" s="1"/>
  <c r="A799" i="1"/>
  <c r="AA799" i="1" s="1"/>
  <c r="A767" i="1"/>
  <c r="A768" i="1"/>
  <c r="AA768" i="1" s="1"/>
  <c r="A770" i="1"/>
  <c r="AA770" i="1" s="1"/>
  <c r="A771" i="1"/>
  <c r="AA771" i="1" s="1"/>
  <c r="A772" i="1"/>
  <c r="AA772" i="1" s="1"/>
  <c r="A773" i="1"/>
  <c r="AA773" i="1" s="1"/>
  <c r="A774" i="1"/>
  <c r="AA774" i="1" s="1"/>
  <c r="A777" i="1"/>
  <c r="AA777" i="1" s="1"/>
  <c r="A778" i="1"/>
  <c r="AA778" i="1" s="1"/>
  <c r="A779" i="1"/>
  <c r="AA779" i="1" s="1"/>
  <c r="A780" i="1"/>
  <c r="AA780" i="1" s="1"/>
  <c r="A781" i="1"/>
  <c r="AA781" i="1" s="1"/>
  <c r="A782" i="1"/>
  <c r="AA782" i="1" s="1"/>
  <c r="A783" i="1"/>
  <c r="AA783" i="1" s="1"/>
  <c r="A810" i="1"/>
  <c r="AA810" i="1" s="1"/>
  <c r="A843" i="1"/>
  <c r="A845" i="1"/>
  <c r="AA845" i="1" s="1"/>
  <c r="A846" i="1"/>
  <c r="AA846" i="1" s="1"/>
  <c r="A847" i="1"/>
  <c r="AA847" i="1" s="1"/>
  <c r="A890" i="1"/>
  <c r="AA890" i="1" s="1"/>
  <c r="A891" i="1"/>
  <c r="AA891" i="1" s="1"/>
  <c r="A892" i="1"/>
  <c r="AA892" i="1" s="1"/>
  <c r="A893" i="1"/>
  <c r="AA893" i="1" s="1"/>
  <c r="A894" i="1"/>
  <c r="AA894" i="1" s="1"/>
  <c r="A895" i="1"/>
  <c r="AA895" i="1" s="1"/>
  <c r="A896" i="1"/>
  <c r="AA896" i="1" s="1"/>
  <c r="A898" i="1"/>
  <c r="AA898" i="1" s="1"/>
  <c r="A899" i="1"/>
  <c r="AA899" i="1" s="1"/>
  <c r="A900" i="1"/>
  <c r="AA900" i="1" s="1"/>
  <c r="A901" i="1"/>
  <c r="AA901" i="1" s="1"/>
  <c r="A902" i="1"/>
  <c r="AA902" i="1" s="1"/>
  <c r="A903" i="1"/>
  <c r="AA903" i="1" s="1"/>
  <c r="A869" i="1"/>
  <c r="AA869" i="1" s="1"/>
  <c r="A946" i="1"/>
  <c r="AA946" i="1" s="1"/>
  <c r="A941" i="1"/>
  <c r="AA941" i="1" s="1"/>
  <c r="A942" i="1"/>
  <c r="AA942" i="1" s="1"/>
  <c r="A943" i="1"/>
  <c r="AA943" i="1" s="1"/>
  <c r="A944" i="1"/>
  <c r="AA944" i="1" s="1"/>
  <c r="A958" i="1"/>
  <c r="AA958" i="1" s="1"/>
  <c r="A959" i="1"/>
  <c r="AA959" i="1" s="1"/>
  <c r="A960" i="1"/>
  <c r="AA960" i="1" s="1"/>
  <c r="A961" i="1"/>
  <c r="AA961" i="1" s="1"/>
  <c r="A962" i="1"/>
  <c r="AA962" i="1" s="1"/>
  <c r="A963" i="1"/>
  <c r="AA963" i="1" s="1"/>
  <c r="A964" i="1"/>
  <c r="AA964" i="1" s="1"/>
  <c r="A965" i="1"/>
  <c r="AA965" i="1" s="1"/>
  <c r="A966" i="1"/>
  <c r="AA966" i="1" s="1"/>
  <c r="A967" i="1"/>
  <c r="AA967" i="1" s="1"/>
  <c r="A968" i="1"/>
  <c r="AA968" i="1" s="1"/>
  <c r="A969" i="1"/>
  <c r="AA969" i="1" s="1"/>
  <c r="A970" i="1"/>
  <c r="AA970" i="1" s="1"/>
  <c r="A957" i="1"/>
  <c r="AA957" i="1" s="1"/>
  <c r="A1026" i="1"/>
  <c r="A1027" i="1"/>
  <c r="AA1027" i="1" s="1"/>
  <c r="A1028" i="1"/>
  <c r="AA1028" i="1" s="1"/>
  <c r="A1029" i="1"/>
  <c r="AA1029" i="1" s="1"/>
  <c r="A1030" i="1"/>
  <c r="AA1030" i="1" s="1"/>
  <c r="A1031" i="1"/>
  <c r="AA1031" i="1" s="1"/>
  <c r="A1033" i="1"/>
  <c r="AA1033" i="1" s="1"/>
  <c r="A1034" i="1"/>
  <c r="AA1034" i="1" s="1"/>
  <c r="A1042" i="1"/>
  <c r="AA1042" i="1" s="1"/>
  <c r="A1052" i="1"/>
  <c r="AA1052" i="1" s="1"/>
  <c r="A1053" i="1"/>
  <c r="AA1053" i="1" s="1"/>
  <c r="A1055" i="1"/>
  <c r="AA1055" i="1" s="1"/>
  <c r="A1056" i="1"/>
  <c r="AA1056" i="1" s="1"/>
  <c r="A1057" i="1"/>
  <c r="AA1057" i="1" s="1"/>
  <c r="A1058" i="1"/>
  <c r="AA1058" i="1" s="1"/>
  <c r="A1059" i="1"/>
  <c r="AA1059" i="1" s="1"/>
  <c r="A1060" i="1"/>
  <c r="AA1060" i="1" s="1"/>
  <c r="A1061" i="1"/>
  <c r="AA1061" i="1" s="1"/>
  <c r="A1062" i="1"/>
  <c r="AA1062" i="1" s="1"/>
  <c r="A1063" i="1"/>
  <c r="AA1063" i="1" s="1"/>
  <c r="A1064" i="1"/>
  <c r="AA1064" i="1" s="1"/>
  <c r="A1065" i="1"/>
  <c r="AA1065" i="1" s="1"/>
  <c r="A1066" i="1"/>
  <c r="AA1066" i="1" s="1"/>
  <c r="A1068" i="1"/>
  <c r="AA1068" i="1" s="1"/>
  <c r="A1007" i="1"/>
  <c r="A1008" i="1"/>
  <c r="AA1008" i="1" s="1"/>
  <c r="A1009" i="1"/>
  <c r="AA1009" i="1" s="1"/>
  <c r="A1010" i="1"/>
  <c r="AA1010" i="1" s="1"/>
  <c r="A1012" i="1"/>
  <c r="AA1012" i="1" s="1"/>
  <c r="A1013" i="1"/>
  <c r="AA1013" i="1" s="1"/>
  <c r="A1014" i="1"/>
  <c r="AA1014" i="1" s="1"/>
  <c r="A1015" i="1"/>
  <c r="AA1015" i="1" s="1"/>
  <c r="A1016" i="1"/>
  <c r="AA1016" i="1" s="1"/>
  <c r="A1017" i="1"/>
  <c r="AA1017" i="1" s="1"/>
  <c r="A1018" i="1"/>
  <c r="AA1018" i="1" s="1"/>
  <c r="A1019" i="1"/>
  <c r="AA1019" i="1" s="1"/>
  <c r="A1020" i="1"/>
  <c r="AA1020" i="1" s="1"/>
  <c r="A1021" i="1"/>
  <c r="AA1021" i="1" s="1"/>
  <c r="A1022" i="1"/>
  <c r="AA1022" i="1" s="1"/>
  <c r="A997" i="1"/>
  <c r="AA997" i="1" s="1"/>
  <c r="A1043" i="1"/>
  <c r="A1045" i="1"/>
  <c r="AA1045" i="1" s="1"/>
  <c r="A1046" i="1"/>
  <c r="AA1046" i="1" s="1"/>
  <c r="A1047" i="1"/>
  <c r="AA1047" i="1" s="1"/>
  <c r="A1050" i="1"/>
  <c r="AA1050" i="1" s="1"/>
  <c r="A1051" i="1"/>
  <c r="AA1051" i="1" s="1"/>
  <c r="A1025" i="1"/>
  <c r="AA1025" i="1" s="1"/>
  <c r="A1069" i="1"/>
  <c r="AA1069" i="1" s="1"/>
  <c r="A1070" i="1"/>
  <c r="AA1070" i="1" s="1"/>
  <c r="A992" i="1"/>
  <c r="AA992" i="1" s="1"/>
  <c r="A229" i="1"/>
  <c r="AA229" i="1" s="1"/>
  <c r="A230" i="1"/>
  <c r="AA230" i="1" s="1"/>
  <c r="A231" i="1"/>
  <c r="AA231" i="1" s="1"/>
  <c r="A232" i="1"/>
  <c r="AA232" i="1" s="1"/>
  <c r="A233" i="1"/>
  <c r="AA233" i="1" s="1"/>
  <c r="A234" i="1"/>
  <c r="AA234" i="1" s="1"/>
  <c r="A235" i="1"/>
  <c r="AA235" i="1" s="1"/>
  <c r="A236" i="1"/>
  <c r="AA236" i="1" s="1"/>
  <c r="A237" i="1"/>
  <c r="AA237" i="1" s="1"/>
  <c r="A238" i="1"/>
  <c r="AA238" i="1" s="1"/>
  <c r="A241" i="1"/>
  <c r="AA241" i="1" s="1"/>
  <c r="A227" i="1"/>
  <c r="AA227" i="1" s="1"/>
  <c r="A228" i="1"/>
  <c r="AA228" i="1" s="1"/>
  <c r="A245" i="1"/>
  <c r="AA245" i="1" s="1"/>
  <c r="A246" i="1"/>
  <c r="AA246" i="1" s="1"/>
  <c r="A247" i="1"/>
  <c r="AA247" i="1" s="1"/>
  <c r="A248" i="1"/>
  <c r="AA248" i="1" s="1"/>
  <c r="K2" i="1"/>
  <c r="K3" i="1"/>
  <c r="K4" i="1"/>
  <c r="K5" i="1"/>
  <c r="K6" i="1"/>
  <c r="K8" i="1"/>
  <c r="K9" i="1"/>
  <c r="K10" i="1"/>
  <c r="K11" i="1"/>
  <c r="K12" i="1"/>
  <c r="K15" i="1"/>
  <c r="K16" i="1"/>
  <c r="K17" i="1"/>
  <c r="K18" i="1"/>
  <c r="K19" i="1"/>
  <c r="K21" i="1"/>
  <c r="K22" i="1"/>
  <c r="K23" i="1"/>
  <c r="K24" i="1"/>
  <c r="K25" i="1"/>
  <c r="K26" i="1"/>
  <c r="K27" i="1"/>
  <c r="K28" i="1"/>
  <c r="K29" i="1"/>
  <c r="K30" i="1"/>
  <c r="K31" i="1"/>
  <c r="K32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3" i="1"/>
  <c r="K55" i="1"/>
  <c r="K56" i="1"/>
  <c r="K57" i="1"/>
  <c r="K58" i="1"/>
  <c r="K60" i="1"/>
  <c r="K61" i="1"/>
  <c r="K62" i="1"/>
  <c r="K13" i="1"/>
  <c r="K14" i="1"/>
  <c r="K81" i="1"/>
  <c r="K82" i="1"/>
  <c r="K83" i="1"/>
  <c r="K84" i="1"/>
  <c r="K86" i="1"/>
  <c r="K87" i="1"/>
  <c r="K63" i="1"/>
  <c r="K64" i="1"/>
  <c r="K65" i="1"/>
  <c r="K66" i="1"/>
  <c r="K67" i="1"/>
  <c r="K68" i="1"/>
  <c r="K69" i="1"/>
  <c r="K70" i="1"/>
  <c r="K71" i="1"/>
  <c r="K73" i="1"/>
  <c r="K74" i="1"/>
  <c r="K75" i="1"/>
  <c r="K77" i="1"/>
  <c r="K78" i="1"/>
  <c r="K79" i="1"/>
  <c r="K80" i="1"/>
  <c r="K88" i="1"/>
  <c r="K89" i="1"/>
  <c r="K90" i="1"/>
  <c r="K91" i="1"/>
  <c r="K92" i="1"/>
  <c r="K93" i="1"/>
  <c r="K94" i="1"/>
  <c r="K95" i="1"/>
  <c r="K96" i="1"/>
  <c r="K97" i="1"/>
  <c r="K99" i="1"/>
  <c r="K100" i="1"/>
  <c r="K101" i="1"/>
  <c r="K102" i="1"/>
  <c r="K103" i="1"/>
  <c r="K104" i="1"/>
  <c r="K105" i="1"/>
  <c r="K106" i="1"/>
  <c r="K107" i="1"/>
  <c r="K108" i="1"/>
  <c r="K109" i="1"/>
  <c r="K112" i="1"/>
  <c r="K113" i="1"/>
  <c r="K111" i="1"/>
  <c r="K114" i="1"/>
  <c r="K115" i="1"/>
  <c r="K138" i="1"/>
  <c r="K136" i="1"/>
  <c r="K139" i="1"/>
  <c r="K140" i="1"/>
  <c r="K141" i="1"/>
  <c r="K137" i="1"/>
  <c r="K142" i="1"/>
  <c r="K143" i="1"/>
  <c r="K144" i="1"/>
  <c r="K145" i="1"/>
  <c r="K146" i="1"/>
  <c r="K147" i="1"/>
  <c r="K148" i="1"/>
  <c r="K128" i="1"/>
  <c r="K129" i="1"/>
  <c r="K130" i="1"/>
  <c r="K133" i="1"/>
  <c r="K134" i="1"/>
  <c r="K126" i="1"/>
  <c r="K135" i="1"/>
  <c r="K116" i="1"/>
  <c r="K118" i="1"/>
  <c r="K122" i="1"/>
  <c r="K150" i="1"/>
  <c r="K151" i="1"/>
  <c r="K155" i="1"/>
  <c r="K156" i="1"/>
  <c r="K157" i="1"/>
  <c r="K160" i="1"/>
  <c r="K154" i="1"/>
  <c r="K158" i="1"/>
  <c r="K149" i="1"/>
  <c r="K159" i="1"/>
  <c r="K161" i="1"/>
  <c r="K163" i="1"/>
  <c r="K164" i="1"/>
  <c r="K165" i="1"/>
  <c r="K166" i="1"/>
  <c r="K167" i="1"/>
  <c r="K168" i="1"/>
  <c r="K250" i="1"/>
  <c r="K251" i="1"/>
  <c r="K253" i="1"/>
  <c r="K255" i="1"/>
  <c r="K256" i="1"/>
  <c r="K170" i="1"/>
  <c r="K171" i="1"/>
  <c r="K172" i="1"/>
  <c r="K173" i="1"/>
  <c r="K174" i="1"/>
  <c r="K175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90" i="1"/>
  <c r="K191" i="1"/>
  <c r="K192" i="1"/>
  <c r="K193" i="1"/>
  <c r="K194" i="1"/>
  <c r="K195" i="1"/>
  <c r="K196" i="1"/>
  <c r="K197" i="1"/>
  <c r="K198" i="1"/>
  <c r="K258" i="1"/>
  <c r="K259" i="1"/>
  <c r="K260" i="1"/>
  <c r="K199" i="1"/>
  <c r="K200" i="1"/>
  <c r="K202" i="1"/>
  <c r="K204" i="1"/>
  <c r="K205" i="1"/>
  <c r="K206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2" i="1"/>
  <c r="K223" i="1"/>
  <c r="K224" i="1"/>
  <c r="K176" i="1"/>
  <c r="K257" i="1"/>
  <c r="K249" i="1"/>
  <c r="K239" i="1"/>
  <c r="K240" i="1"/>
  <c r="K263" i="1"/>
  <c r="K264" i="1"/>
  <c r="K265" i="1"/>
  <c r="K266" i="1"/>
  <c r="K308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3" i="1"/>
  <c r="K297" i="1"/>
  <c r="K298" i="1"/>
  <c r="K299" i="1"/>
  <c r="K300" i="1"/>
  <c r="K301" i="1"/>
  <c r="K303" i="1"/>
  <c r="K304" i="1"/>
  <c r="K284" i="1"/>
  <c r="K285" i="1"/>
  <c r="K287" i="1"/>
  <c r="K288" i="1"/>
  <c r="K289" i="1"/>
  <c r="K290" i="1"/>
  <c r="K291" i="1"/>
  <c r="K292" i="1"/>
  <c r="K293" i="1"/>
  <c r="K294" i="1"/>
  <c r="K295" i="1"/>
  <c r="K296" i="1"/>
  <c r="K262" i="1"/>
  <c r="K261" i="1"/>
  <c r="K307" i="1"/>
  <c r="K306" i="1"/>
  <c r="K305" i="1"/>
  <c r="K315" i="1"/>
  <c r="K309" i="1"/>
  <c r="K313" i="1"/>
  <c r="K314" i="1"/>
  <c r="K310" i="1"/>
  <c r="K311" i="1"/>
  <c r="K312" i="1"/>
  <c r="K316" i="1"/>
  <c r="K317" i="1"/>
  <c r="K318" i="1"/>
  <c r="K319" i="1"/>
  <c r="K320" i="1"/>
  <c r="K321" i="1"/>
  <c r="K322" i="1"/>
  <c r="K323" i="1"/>
  <c r="K324" i="1"/>
  <c r="K325" i="1"/>
  <c r="K343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4" i="1"/>
  <c r="K345" i="1"/>
  <c r="K346" i="1"/>
  <c r="K347" i="1"/>
  <c r="K342" i="1"/>
  <c r="K348" i="1"/>
  <c r="K349" i="1"/>
  <c r="K350" i="1"/>
  <c r="K382" i="1"/>
  <c r="K383" i="1"/>
  <c r="K384" i="1"/>
  <c r="K386" i="1"/>
  <c r="K387" i="1"/>
  <c r="K388" i="1"/>
  <c r="K389" i="1"/>
  <c r="K391" i="1"/>
  <c r="K392" i="1"/>
  <c r="K393" i="1"/>
  <c r="K374" i="1"/>
  <c r="K375" i="1"/>
  <c r="K376" i="1"/>
  <c r="K378" i="1"/>
  <c r="K380" i="1"/>
  <c r="K381" i="1"/>
  <c r="K394" i="1"/>
  <c r="K395" i="1"/>
  <c r="K396" i="1"/>
  <c r="K397" i="1"/>
  <c r="K398" i="1"/>
  <c r="K399" i="1"/>
  <c r="K400" i="1"/>
  <c r="K401" i="1"/>
  <c r="K402" i="1"/>
  <c r="K403" i="1"/>
  <c r="K406" i="1"/>
  <c r="K407" i="1"/>
  <c r="K408" i="1"/>
  <c r="K411" i="1"/>
  <c r="K414" i="1"/>
  <c r="K415" i="1"/>
  <c r="K416" i="1"/>
  <c r="K417" i="1"/>
  <c r="K418" i="1"/>
  <c r="K419" i="1"/>
  <c r="K421" i="1"/>
  <c r="K422" i="1"/>
  <c r="K423" i="1"/>
  <c r="K425" i="1"/>
  <c r="K427" i="1"/>
  <c r="K428" i="1"/>
  <c r="K431" i="1"/>
  <c r="K432" i="1"/>
  <c r="K436" i="1"/>
  <c r="K437" i="1"/>
  <c r="K438" i="1"/>
  <c r="K439" i="1"/>
  <c r="K440" i="1"/>
  <c r="K441" i="1"/>
  <c r="K442" i="1"/>
  <c r="K443" i="1"/>
  <c r="K444" i="1"/>
  <c r="K446" i="1"/>
  <c r="K447" i="1"/>
  <c r="K448" i="1"/>
  <c r="K449" i="1"/>
  <c r="K450" i="1"/>
  <c r="K451" i="1"/>
  <c r="K452" i="1"/>
  <c r="K457" i="1"/>
  <c r="K453" i="1"/>
  <c r="K454" i="1"/>
  <c r="K458" i="1"/>
  <c r="K459" i="1"/>
  <c r="K501" i="1"/>
  <c r="K461" i="1"/>
  <c r="K462" i="1"/>
  <c r="K463" i="1"/>
  <c r="K464" i="1"/>
  <c r="K465" i="1"/>
  <c r="K467" i="1"/>
  <c r="K468" i="1"/>
  <c r="K502" i="1"/>
  <c r="K469" i="1"/>
  <c r="K503" i="1"/>
  <c r="K470" i="1"/>
  <c r="K471" i="1"/>
  <c r="K474" i="1"/>
  <c r="K478" i="1"/>
  <c r="K479" i="1"/>
  <c r="K482" i="1"/>
  <c r="K483" i="1"/>
  <c r="K487" i="1"/>
  <c r="K488" i="1"/>
  <c r="K489" i="1"/>
  <c r="K504" i="1"/>
  <c r="K490" i="1"/>
  <c r="K491" i="1"/>
  <c r="K492" i="1"/>
  <c r="K493" i="1"/>
  <c r="K495" i="1"/>
  <c r="K496" i="1"/>
  <c r="K497" i="1"/>
  <c r="K498" i="1"/>
  <c r="K499" i="1"/>
  <c r="K500" i="1"/>
  <c r="K517" i="1"/>
  <c r="K519" i="1"/>
  <c r="K520" i="1"/>
  <c r="K521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08" i="1"/>
  <c r="K509" i="1"/>
  <c r="K510" i="1"/>
  <c r="K511" i="1"/>
  <c r="K512" i="1"/>
  <c r="K513" i="1"/>
  <c r="K514" i="1"/>
  <c r="K515" i="1"/>
  <c r="K516" i="1"/>
  <c r="K539" i="1"/>
  <c r="K505" i="1"/>
  <c r="K506" i="1"/>
  <c r="K540" i="1"/>
  <c r="K507" i="1"/>
  <c r="K542" i="1"/>
  <c r="K543" i="1"/>
  <c r="K544" i="1"/>
  <c r="K545" i="1"/>
  <c r="K546" i="1"/>
  <c r="K547" i="1"/>
  <c r="K548" i="1"/>
  <c r="K549" i="1"/>
  <c r="K550" i="1"/>
  <c r="K552" i="1"/>
  <c r="K553" i="1"/>
  <c r="K554" i="1"/>
  <c r="K556" i="1"/>
  <c r="K557" i="1"/>
  <c r="K558" i="1"/>
  <c r="K559" i="1"/>
  <c r="K551" i="1"/>
  <c r="K555" i="1"/>
  <c r="K579" i="1"/>
  <c r="K580" i="1"/>
  <c r="K570" i="1"/>
  <c r="K571" i="1"/>
  <c r="K574" i="1"/>
  <c r="K575" i="1"/>
  <c r="K576" i="1"/>
  <c r="K569" i="1"/>
  <c r="K577" i="1"/>
  <c r="K568" i="1"/>
  <c r="K566" i="1"/>
  <c r="K567" i="1"/>
  <c r="K565" i="1"/>
  <c r="K581" i="1"/>
  <c r="K582" i="1"/>
  <c r="K584" i="1"/>
  <c r="K585" i="1"/>
  <c r="K586" i="1"/>
  <c r="K587" i="1"/>
  <c r="K588" i="1"/>
  <c r="K590" i="1"/>
  <c r="K593" i="1"/>
  <c r="K594" i="1"/>
  <c r="K607" i="1"/>
  <c r="K608" i="1"/>
  <c r="K597" i="1"/>
  <c r="K598" i="1"/>
  <c r="K600" i="1"/>
  <c r="K601" i="1"/>
  <c r="K602" i="1"/>
  <c r="K603" i="1"/>
  <c r="K604" i="1"/>
  <c r="K605" i="1"/>
  <c r="K606" i="1"/>
  <c r="K609" i="1"/>
  <c r="K616" i="1"/>
  <c r="K612" i="1"/>
  <c r="K613" i="1"/>
  <c r="K614" i="1"/>
  <c r="K615" i="1"/>
  <c r="K610" i="1"/>
  <c r="K611" i="1"/>
  <c r="K617" i="1"/>
  <c r="K618" i="1"/>
  <c r="K619" i="1"/>
  <c r="K620" i="1"/>
  <c r="K621" i="1"/>
  <c r="K623" i="1"/>
  <c r="K624" i="1"/>
  <c r="K625" i="1"/>
  <c r="K627" i="1"/>
  <c r="K628" i="1"/>
  <c r="K629" i="1"/>
  <c r="K632" i="1"/>
  <c r="K635" i="1"/>
  <c r="K633" i="1"/>
  <c r="K634" i="1"/>
  <c r="K636" i="1"/>
  <c r="K637" i="1"/>
  <c r="K641" i="1"/>
  <c r="K642" i="1"/>
  <c r="K638" i="1"/>
  <c r="K639" i="1"/>
  <c r="K640" i="1"/>
  <c r="K643" i="1"/>
  <c r="K644" i="1"/>
  <c r="K667" i="1"/>
  <c r="K646" i="1"/>
  <c r="K647" i="1"/>
  <c r="K648" i="1"/>
  <c r="K649" i="1"/>
  <c r="K651" i="1"/>
  <c r="K653" i="1"/>
  <c r="K654" i="1"/>
  <c r="K655" i="1"/>
  <c r="K656" i="1"/>
  <c r="K657" i="1"/>
  <c r="K660" i="1"/>
  <c r="K661" i="1"/>
  <c r="K662" i="1"/>
  <c r="K668" i="1"/>
  <c r="K663" i="1"/>
  <c r="K664" i="1"/>
  <c r="K665" i="1"/>
  <c r="K666" i="1"/>
  <c r="K669" i="1"/>
  <c r="K670" i="1"/>
  <c r="K674" i="1"/>
  <c r="K675" i="1"/>
  <c r="K676" i="1"/>
  <c r="K677" i="1"/>
  <c r="K692" i="1"/>
  <c r="K680" i="1"/>
  <c r="K681" i="1"/>
  <c r="K683" i="1"/>
  <c r="K686" i="1"/>
  <c r="K671" i="1"/>
  <c r="K687" i="1"/>
  <c r="K688" i="1"/>
  <c r="K691" i="1"/>
  <c r="K690" i="1"/>
  <c r="K672" i="1"/>
  <c r="K673" i="1"/>
  <c r="K689" i="1"/>
  <c r="K708" i="1"/>
  <c r="K707" i="1"/>
  <c r="K693" i="1"/>
  <c r="K694" i="1"/>
  <c r="K695" i="1"/>
  <c r="K696" i="1"/>
  <c r="K705" i="1"/>
  <c r="K698" i="1"/>
  <c r="K699" i="1"/>
  <c r="K700" i="1"/>
  <c r="K701" i="1"/>
  <c r="K706" i="1"/>
  <c r="K709" i="1"/>
  <c r="K710" i="1"/>
  <c r="K807" i="1"/>
  <c r="K808" i="1"/>
  <c r="K809" i="1"/>
  <c r="K736" i="1"/>
  <c r="K714" i="1"/>
  <c r="K715" i="1"/>
  <c r="K716" i="1"/>
  <c r="K717" i="1"/>
  <c r="K718" i="1"/>
  <c r="K719" i="1"/>
  <c r="K720" i="1"/>
  <c r="K721" i="1"/>
  <c r="K722" i="1"/>
  <c r="K723" i="1"/>
  <c r="K724" i="1"/>
  <c r="K713" i="1"/>
  <c r="K711" i="1"/>
  <c r="K761" i="1"/>
  <c r="K785" i="1"/>
  <c r="K786" i="1"/>
  <c r="K804" i="1"/>
  <c r="K762" i="1"/>
  <c r="K763" i="1"/>
  <c r="K764" i="1"/>
  <c r="K765" i="1"/>
  <c r="K766" i="1"/>
  <c r="K805" i="1"/>
  <c r="K806" i="1"/>
  <c r="K787" i="1"/>
  <c r="K788" i="1"/>
  <c r="K789" i="1"/>
  <c r="K800" i="1"/>
  <c r="K734" i="1"/>
  <c r="K817" i="1"/>
  <c r="K818" i="1"/>
  <c r="K819" i="1"/>
  <c r="K820" i="1"/>
  <c r="K821" i="1"/>
  <c r="K822" i="1"/>
  <c r="K823" i="1"/>
  <c r="K826" i="1"/>
  <c r="K827" i="1"/>
  <c r="K828" i="1"/>
  <c r="K829" i="1"/>
  <c r="K830" i="1"/>
  <c r="K831" i="1"/>
  <c r="K925" i="1"/>
  <c r="K832" i="1"/>
  <c r="K834" i="1"/>
  <c r="K926" i="1"/>
  <c r="K927" i="1"/>
  <c r="K835" i="1"/>
  <c r="K928" i="1"/>
  <c r="K836" i="1"/>
  <c r="K929" i="1"/>
  <c r="K811" i="1"/>
  <c r="K922" i="1"/>
  <c r="K947" i="1"/>
  <c r="K812" i="1"/>
  <c r="K816" i="1"/>
  <c r="K813" i="1"/>
  <c r="K814" i="1"/>
  <c r="K815" i="1"/>
  <c r="K841" i="1"/>
  <c r="K837" i="1"/>
  <c r="K923" i="1"/>
  <c r="K924" i="1"/>
  <c r="K838" i="1"/>
  <c r="K945" i="1"/>
  <c r="K921" i="1"/>
  <c r="K839" i="1"/>
  <c r="K908" i="1"/>
  <c r="K909" i="1"/>
  <c r="K912" i="1"/>
  <c r="K913" i="1"/>
  <c r="K914" i="1"/>
  <c r="K915" i="1"/>
  <c r="K910" i="1"/>
  <c r="K907" i="1"/>
  <c r="K916" i="1"/>
  <c r="K917" i="1"/>
  <c r="K918" i="1"/>
  <c r="K911" i="1"/>
  <c r="K920" i="1"/>
  <c r="K872" i="1"/>
  <c r="K873" i="1"/>
  <c r="K874" i="1"/>
  <c r="K875" i="1"/>
  <c r="K851" i="1"/>
  <c r="K853" i="1"/>
  <c r="K854" i="1"/>
  <c r="K855" i="1"/>
  <c r="K856" i="1"/>
  <c r="K857" i="1"/>
  <c r="K858" i="1"/>
  <c r="K859" i="1"/>
  <c r="K860" i="1"/>
  <c r="K861" i="1"/>
  <c r="K862" i="1"/>
  <c r="K863" i="1"/>
  <c r="K849" i="1"/>
  <c r="K850" i="1"/>
  <c r="K864" i="1"/>
  <c r="K865" i="1"/>
  <c r="K866" i="1"/>
  <c r="K867" i="1"/>
  <c r="K876" i="1"/>
  <c r="K877" i="1"/>
  <c r="K878" i="1"/>
  <c r="K879" i="1"/>
  <c r="K880" i="1"/>
  <c r="K881" i="1"/>
  <c r="K882" i="1"/>
  <c r="K885" i="1"/>
  <c r="K886" i="1"/>
  <c r="K887" i="1"/>
  <c r="K842" i="1"/>
  <c r="K871" i="1"/>
  <c r="K888" i="1"/>
  <c r="K868" i="1"/>
  <c r="K870" i="1"/>
  <c r="K848" i="1"/>
  <c r="K904" i="1"/>
  <c r="K905" i="1"/>
  <c r="K906" i="1"/>
  <c r="K930" i="1"/>
  <c r="K931" i="1"/>
  <c r="K932" i="1"/>
  <c r="K933" i="1"/>
  <c r="K934" i="1"/>
  <c r="K935" i="1"/>
  <c r="K936" i="1"/>
  <c r="K937" i="1"/>
  <c r="K938" i="1"/>
  <c r="K939" i="1"/>
  <c r="K951" i="1"/>
  <c r="K948" i="1"/>
  <c r="K949" i="1"/>
  <c r="K950" i="1"/>
  <c r="K952" i="1"/>
  <c r="K956" i="1"/>
  <c r="K953" i="1"/>
  <c r="K954" i="1"/>
  <c r="K955" i="1"/>
  <c r="K971" i="1"/>
  <c r="K972" i="1"/>
  <c r="K990" i="1"/>
  <c r="K973" i="1"/>
  <c r="K974" i="1"/>
  <c r="K975" i="1"/>
  <c r="K976" i="1"/>
  <c r="K978" i="1"/>
  <c r="K979" i="1"/>
  <c r="K980" i="1"/>
  <c r="K982" i="1"/>
  <c r="K983" i="1"/>
  <c r="K985" i="1"/>
  <c r="K991" i="1"/>
  <c r="K986" i="1"/>
  <c r="K987" i="1"/>
  <c r="K988" i="1"/>
  <c r="K989" i="1"/>
  <c r="K1000" i="1"/>
  <c r="K1001" i="1"/>
  <c r="K1002" i="1"/>
  <c r="K1003" i="1"/>
  <c r="K1004" i="1"/>
  <c r="K1005" i="1"/>
  <c r="K1006" i="1"/>
  <c r="K1035" i="1"/>
  <c r="K1036" i="1"/>
  <c r="K1037" i="1"/>
  <c r="K1038" i="1"/>
  <c r="K994" i="1"/>
  <c r="K1039" i="1"/>
  <c r="K1040" i="1"/>
  <c r="K1041" i="1"/>
  <c r="K1072" i="1"/>
  <c r="K1073" i="1"/>
  <c r="K1074" i="1"/>
  <c r="K1075" i="1"/>
  <c r="K1076" i="1"/>
  <c r="K1078" i="1"/>
  <c r="K1079" i="1"/>
  <c r="K1080" i="1"/>
  <c r="K1077" i="1"/>
  <c r="K1082" i="1"/>
  <c r="K1083" i="1"/>
  <c r="K1071" i="1"/>
  <c r="K1087" i="1"/>
  <c r="K1088" i="1"/>
  <c r="K1091" i="1"/>
  <c r="K1090" i="1"/>
  <c r="K1093" i="1"/>
  <c r="K1094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4" i="1"/>
  <c r="K366" i="1"/>
  <c r="K367" i="1"/>
  <c r="K368" i="1"/>
  <c r="K369" i="1"/>
  <c r="K370" i="1"/>
  <c r="K371" i="1"/>
  <c r="K372" i="1"/>
  <c r="K373" i="1"/>
  <c r="K541" i="1"/>
  <c r="K560" i="1"/>
  <c r="K561" i="1"/>
  <c r="K562" i="1"/>
  <c r="K563" i="1"/>
  <c r="K564" i="1"/>
  <c r="K790" i="1"/>
  <c r="K791" i="1"/>
  <c r="K725" i="1"/>
  <c r="K727" i="1"/>
  <c r="K729" i="1"/>
  <c r="K730" i="1"/>
  <c r="K731" i="1"/>
  <c r="K732" i="1"/>
  <c r="K733" i="1"/>
  <c r="K801" i="1"/>
  <c r="K712" i="1"/>
  <c r="K803" i="1"/>
  <c r="K737" i="1"/>
  <c r="K738" i="1"/>
  <c r="K739" i="1"/>
  <c r="K740" i="1"/>
  <c r="K741" i="1"/>
  <c r="K742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93" i="1"/>
  <c r="K794" i="1"/>
  <c r="K795" i="1"/>
  <c r="K796" i="1"/>
  <c r="K797" i="1"/>
  <c r="K798" i="1"/>
  <c r="K799" i="1"/>
  <c r="K767" i="1"/>
  <c r="K768" i="1"/>
  <c r="K770" i="1"/>
  <c r="K771" i="1"/>
  <c r="K772" i="1"/>
  <c r="K773" i="1"/>
  <c r="K774" i="1"/>
  <c r="K777" i="1"/>
  <c r="K778" i="1"/>
  <c r="K779" i="1"/>
  <c r="K780" i="1"/>
  <c r="K781" i="1"/>
  <c r="K782" i="1"/>
  <c r="K783" i="1"/>
  <c r="K810" i="1"/>
  <c r="K843" i="1"/>
  <c r="K845" i="1"/>
  <c r="K846" i="1"/>
  <c r="K847" i="1"/>
  <c r="K890" i="1"/>
  <c r="K891" i="1"/>
  <c r="K892" i="1"/>
  <c r="K893" i="1"/>
  <c r="K894" i="1"/>
  <c r="K895" i="1"/>
  <c r="K896" i="1"/>
  <c r="K898" i="1"/>
  <c r="K899" i="1"/>
  <c r="K900" i="1"/>
  <c r="K901" i="1"/>
  <c r="K902" i="1"/>
  <c r="K903" i="1"/>
  <c r="K869" i="1"/>
  <c r="K946" i="1"/>
  <c r="K941" i="1"/>
  <c r="K942" i="1"/>
  <c r="K943" i="1"/>
  <c r="K944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57" i="1"/>
  <c r="K1026" i="1"/>
  <c r="K1027" i="1"/>
  <c r="K1028" i="1"/>
  <c r="K1029" i="1"/>
  <c r="K1030" i="1"/>
  <c r="K1031" i="1"/>
  <c r="K1033" i="1"/>
  <c r="K1034" i="1"/>
  <c r="K1042" i="1"/>
  <c r="K1052" i="1"/>
  <c r="K1053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8" i="1"/>
  <c r="K1007" i="1"/>
  <c r="K1008" i="1"/>
  <c r="K1009" i="1"/>
  <c r="K1010" i="1"/>
  <c r="K1012" i="1"/>
  <c r="K1013" i="1"/>
  <c r="K1014" i="1"/>
  <c r="K1015" i="1"/>
  <c r="K1016" i="1"/>
  <c r="K1017" i="1"/>
  <c r="K1018" i="1"/>
  <c r="K1019" i="1"/>
  <c r="K1020" i="1"/>
  <c r="K1021" i="1"/>
  <c r="K1022" i="1"/>
  <c r="K997" i="1"/>
  <c r="K1043" i="1"/>
  <c r="K1045" i="1"/>
  <c r="K1046" i="1"/>
  <c r="K1047" i="1"/>
  <c r="K1050" i="1"/>
  <c r="K1051" i="1"/>
  <c r="K1025" i="1"/>
  <c r="K1069" i="1"/>
  <c r="K1070" i="1"/>
  <c r="K992" i="1"/>
  <c r="K229" i="1"/>
  <c r="K230" i="1"/>
  <c r="K231" i="1"/>
  <c r="K232" i="1"/>
  <c r="K233" i="1"/>
  <c r="K234" i="1"/>
  <c r="K235" i="1"/>
  <c r="K236" i="1"/>
  <c r="K237" i="1"/>
  <c r="K238" i="1"/>
  <c r="K241" i="1"/>
  <c r="K227" i="1"/>
  <c r="K228" i="1"/>
  <c r="K245" i="1"/>
  <c r="K246" i="1"/>
  <c r="K247" i="1"/>
  <c r="K248" i="1"/>
  <c r="C2" i="1"/>
  <c r="C3" i="1"/>
  <c r="C4" i="1"/>
  <c r="C5" i="1"/>
  <c r="C6" i="1"/>
  <c r="C7" i="1"/>
  <c r="C8" i="1"/>
  <c r="C9" i="1"/>
  <c r="C10" i="1"/>
  <c r="C11" i="1"/>
  <c r="C12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13" i="1"/>
  <c r="C14" i="1"/>
  <c r="C81" i="1"/>
  <c r="C82" i="1"/>
  <c r="C83" i="1"/>
  <c r="C84" i="1"/>
  <c r="C85" i="1"/>
  <c r="C86" i="1"/>
  <c r="C87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2" i="1"/>
  <c r="C113" i="1"/>
  <c r="C111" i="1"/>
  <c r="C114" i="1"/>
  <c r="C115" i="1"/>
  <c r="C138" i="1"/>
  <c r="C136" i="1"/>
  <c r="C139" i="1"/>
  <c r="C140" i="1"/>
  <c r="C141" i="1"/>
  <c r="C137" i="1"/>
  <c r="C142" i="1"/>
  <c r="C143" i="1"/>
  <c r="C144" i="1"/>
  <c r="C145" i="1"/>
  <c r="C146" i="1"/>
  <c r="C147" i="1"/>
  <c r="C148" i="1"/>
  <c r="C127" i="1"/>
  <c r="C128" i="1"/>
  <c r="C129" i="1"/>
  <c r="C130" i="1"/>
  <c r="C131" i="1"/>
  <c r="C132" i="1"/>
  <c r="C133" i="1"/>
  <c r="C134" i="1"/>
  <c r="C126" i="1"/>
  <c r="C135" i="1"/>
  <c r="C116" i="1"/>
  <c r="C117" i="1"/>
  <c r="C118" i="1"/>
  <c r="C119" i="1"/>
  <c r="C120" i="1"/>
  <c r="C121" i="1"/>
  <c r="C122" i="1"/>
  <c r="C123" i="1"/>
  <c r="C124" i="1"/>
  <c r="C125" i="1"/>
  <c r="C150" i="1"/>
  <c r="C151" i="1"/>
  <c r="C152" i="1"/>
  <c r="C153" i="1"/>
  <c r="C155" i="1"/>
  <c r="C156" i="1"/>
  <c r="C157" i="1"/>
  <c r="C160" i="1"/>
  <c r="C154" i="1"/>
  <c r="C158" i="1"/>
  <c r="C149" i="1"/>
  <c r="C159" i="1"/>
  <c r="C162" i="1"/>
  <c r="C161" i="1"/>
  <c r="C163" i="1"/>
  <c r="C164" i="1"/>
  <c r="C165" i="1"/>
  <c r="C166" i="1"/>
  <c r="C167" i="1"/>
  <c r="C168" i="1"/>
  <c r="C250" i="1"/>
  <c r="C251" i="1"/>
  <c r="C252" i="1"/>
  <c r="C253" i="1"/>
  <c r="C254" i="1"/>
  <c r="C255" i="1"/>
  <c r="C256" i="1"/>
  <c r="C170" i="1"/>
  <c r="C171" i="1"/>
  <c r="C172" i="1"/>
  <c r="C173" i="1"/>
  <c r="C174" i="1"/>
  <c r="C175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258" i="1"/>
  <c r="C259" i="1"/>
  <c r="C260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176" i="1"/>
  <c r="C257" i="1"/>
  <c r="C249" i="1"/>
  <c r="C239" i="1"/>
  <c r="C240" i="1"/>
  <c r="C263" i="1"/>
  <c r="C264" i="1"/>
  <c r="C265" i="1"/>
  <c r="C266" i="1"/>
  <c r="C308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97" i="1"/>
  <c r="C298" i="1"/>
  <c r="C299" i="1"/>
  <c r="C300" i="1"/>
  <c r="C301" i="1"/>
  <c r="C302" i="1"/>
  <c r="C303" i="1"/>
  <c r="C304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62" i="1"/>
  <c r="C261" i="1"/>
  <c r="C307" i="1"/>
  <c r="C306" i="1"/>
  <c r="C305" i="1"/>
  <c r="C315" i="1"/>
  <c r="C309" i="1"/>
  <c r="C313" i="1"/>
  <c r="C314" i="1"/>
  <c r="C310" i="1"/>
  <c r="C311" i="1"/>
  <c r="C312" i="1"/>
  <c r="C316" i="1"/>
  <c r="C317" i="1"/>
  <c r="C318" i="1"/>
  <c r="C319" i="1"/>
  <c r="C320" i="1"/>
  <c r="C321" i="1"/>
  <c r="C322" i="1"/>
  <c r="C323" i="1"/>
  <c r="C324" i="1"/>
  <c r="C325" i="1"/>
  <c r="C343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4" i="1"/>
  <c r="C345" i="1"/>
  <c r="C341" i="1"/>
  <c r="C346" i="1"/>
  <c r="C347" i="1"/>
  <c r="C342" i="1"/>
  <c r="C348" i="1"/>
  <c r="C349" i="1"/>
  <c r="C350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74" i="1"/>
  <c r="C375" i="1"/>
  <c r="C376" i="1"/>
  <c r="C377" i="1"/>
  <c r="C378" i="1"/>
  <c r="C379" i="1"/>
  <c r="C380" i="1"/>
  <c r="C381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7" i="1"/>
  <c r="C453" i="1"/>
  <c r="C454" i="1"/>
  <c r="C455" i="1"/>
  <c r="C456" i="1"/>
  <c r="C458" i="1"/>
  <c r="C459" i="1"/>
  <c r="C501" i="1"/>
  <c r="C460" i="1"/>
  <c r="C461" i="1"/>
  <c r="C462" i="1"/>
  <c r="C463" i="1"/>
  <c r="C464" i="1"/>
  <c r="C465" i="1"/>
  <c r="C466" i="1"/>
  <c r="C467" i="1"/>
  <c r="C468" i="1"/>
  <c r="C502" i="1"/>
  <c r="C469" i="1"/>
  <c r="C503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504" i="1"/>
  <c r="C490" i="1"/>
  <c r="C491" i="1"/>
  <c r="C492" i="1"/>
  <c r="C493" i="1"/>
  <c r="C494" i="1"/>
  <c r="C495" i="1"/>
  <c r="C496" i="1"/>
  <c r="C497" i="1"/>
  <c r="C498" i="1"/>
  <c r="C499" i="1"/>
  <c r="C500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08" i="1"/>
  <c r="C509" i="1"/>
  <c r="C510" i="1"/>
  <c r="C511" i="1"/>
  <c r="C512" i="1"/>
  <c r="C513" i="1"/>
  <c r="C514" i="1"/>
  <c r="C515" i="1"/>
  <c r="C516" i="1"/>
  <c r="C539" i="1"/>
  <c r="C505" i="1"/>
  <c r="C506" i="1"/>
  <c r="C540" i="1"/>
  <c r="C507" i="1"/>
  <c r="C542" i="1"/>
  <c r="C543" i="1"/>
  <c r="C544" i="1"/>
  <c r="C545" i="1"/>
  <c r="C546" i="1"/>
  <c r="C547" i="1"/>
  <c r="C548" i="1"/>
  <c r="C549" i="1"/>
  <c r="C550" i="1"/>
  <c r="C552" i="1"/>
  <c r="C553" i="1"/>
  <c r="C554" i="1"/>
  <c r="C556" i="1"/>
  <c r="C557" i="1"/>
  <c r="C558" i="1"/>
  <c r="C559" i="1"/>
  <c r="C551" i="1"/>
  <c r="C555" i="1"/>
  <c r="C578" i="1"/>
  <c r="C579" i="1"/>
  <c r="C580" i="1"/>
  <c r="C570" i="1"/>
  <c r="C571" i="1"/>
  <c r="C572" i="1"/>
  <c r="C573" i="1"/>
  <c r="C574" i="1"/>
  <c r="C575" i="1"/>
  <c r="C576" i="1"/>
  <c r="C569" i="1"/>
  <c r="C577" i="1"/>
  <c r="C568" i="1"/>
  <c r="C566" i="1"/>
  <c r="C567" i="1"/>
  <c r="C565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607" i="1"/>
  <c r="C608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9" i="1"/>
  <c r="C616" i="1"/>
  <c r="C612" i="1"/>
  <c r="C613" i="1"/>
  <c r="C614" i="1"/>
  <c r="C615" i="1"/>
  <c r="C622" i="1"/>
  <c r="C610" i="1"/>
  <c r="C611" i="1"/>
  <c r="C617" i="1"/>
  <c r="C618" i="1"/>
  <c r="C619" i="1"/>
  <c r="C620" i="1"/>
  <c r="C621" i="1"/>
  <c r="C623" i="1"/>
  <c r="C624" i="1"/>
  <c r="C625" i="1"/>
  <c r="C626" i="1"/>
  <c r="C627" i="1"/>
  <c r="C628" i="1"/>
  <c r="C629" i="1"/>
  <c r="C630" i="1"/>
  <c r="C632" i="1"/>
  <c r="C635" i="1"/>
  <c r="C633" i="1"/>
  <c r="C634" i="1"/>
  <c r="C631" i="1"/>
  <c r="C636" i="1"/>
  <c r="C637" i="1"/>
  <c r="C641" i="1"/>
  <c r="C642" i="1"/>
  <c r="C638" i="1"/>
  <c r="C639" i="1"/>
  <c r="C640" i="1"/>
  <c r="C643" i="1"/>
  <c r="C644" i="1"/>
  <c r="C667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8" i="1"/>
  <c r="C663" i="1"/>
  <c r="C664" i="1"/>
  <c r="C665" i="1"/>
  <c r="C666" i="1"/>
  <c r="C669" i="1"/>
  <c r="C670" i="1"/>
  <c r="C674" i="1"/>
  <c r="C675" i="1"/>
  <c r="C676" i="1"/>
  <c r="C677" i="1"/>
  <c r="C678" i="1"/>
  <c r="C679" i="1"/>
  <c r="C692" i="1"/>
  <c r="C680" i="1"/>
  <c r="C681" i="1"/>
  <c r="C682" i="1"/>
  <c r="C683" i="1"/>
  <c r="C684" i="1"/>
  <c r="C685" i="1"/>
  <c r="C686" i="1"/>
  <c r="C671" i="1"/>
  <c r="C687" i="1"/>
  <c r="C688" i="1"/>
  <c r="C691" i="1"/>
  <c r="C690" i="1"/>
  <c r="C672" i="1"/>
  <c r="C673" i="1"/>
  <c r="C689" i="1"/>
  <c r="C708" i="1"/>
  <c r="C707" i="1"/>
  <c r="C693" i="1"/>
  <c r="C694" i="1"/>
  <c r="C695" i="1"/>
  <c r="C696" i="1"/>
  <c r="C705" i="1"/>
  <c r="C697" i="1"/>
  <c r="C698" i="1"/>
  <c r="C699" i="1"/>
  <c r="C700" i="1"/>
  <c r="C701" i="1"/>
  <c r="C702" i="1"/>
  <c r="C703" i="1"/>
  <c r="C704" i="1"/>
  <c r="C706" i="1"/>
  <c r="C709" i="1"/>
  <c r="C710" i="1"/>
  <c r="C807" i="1"/>
  <c r="C808" i="1"/>
  <c r="C809" i="1"/>
  <c r="C736" i="1"/>
  <c r="C714" i="1"/>
  <c r="C715" i="1"/>
  <c r="C716" i="1"/>
  <c r="C717" i="1"/>
  <c r="C718" i="1"/>
  <c r="C719" i="1"/>
  <c r="C720" i="1"/>
  <c r="C721" i="1"/>
  <c r="C722" i="1"/>
  <c r="C723" i="1"/>
  <c r="C724" i="1"/>
  <c r="C713" i="1"/>
  <c r="C711" i="1"/>
  <c r="C761" i="1"/>
  <c r="C785" i="1"/>
  <c r="C786" i="1"/>
  <c r="C804" i="1"/>
  <c r="C762" i="1"/>
  <c r="C763" i="1"/>
  <c r="C764" i="1"/>
  <c r="C765" i="1"/>
  <c r="C766" i="1"/>
  <c r="C805" i="1"/>
  <c r="C806" i="1"/>
  <c r="C787" i="1"/>
  <c r="C788" i="1"/>
  <c r="C789" i="1"/>
  <c r="C800" i="1"/>
  <c r="C734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925" i="1"/>
  <c r="C832" i="1"/>
  <c r="C833" i="1"/>
  <c r="C834" i="1"/>
  <c r="C926" i="1"/>
  <c r="C927" i="1"/>
  <c r="C835" i="1"/>
  <c r="C928" i="1"/>
  <c r="C836" i="1"/>
  <c r="C929" i="1"/>
  <c r="C811" i="1"/>
  <c r="C922" i="1"/>
  <c r="C840" i="1"/>
  <c r="C947" i="1"/>
  <c r="C812" i="1"/>
  <c r="C816" i="1"/>
  <c r="C813" i="1"/>
  <c r="C814" i="1"/>
  <c r="C815" i="1"/>
  <c r="C841" i="1"/>
  <c r="C837" i="1"/>
  <c r="C923" i="1"/>
  <c r="C924" i="1"/>
  <c r="C838" i="1"/>
  <c r="C945" i="1"/>
  <c r="C921" i="1"/>
  <c r="C839" i="1"/>
  <c r="C908" i="1"/>
  <c r="C909" i="1"/>
  <c r="C912" i="1"/>
  <c r="C913" i="1"/>
  <c r="C914" i="1"/>
  <c r="C915" i="1"/>
  <c r="C910" i="1"/>
  <c r="C907" i="1"/>
  <c r="C916" i="1"/>
  <c r="C917" i="1"/>
  <c r="C918" i="1"/>
  <c r="C919" i="1"/>
  <c r="C911" i="1"/>
  <c r="C920" i="1"/>
  <c r="C872" i="1"/>
  <c r="C873" i="1"/>
  <c r="C874" i="1"/>
  <c r="C875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49" i="1"/>
  <c r="C850" i="1"/>
  <c r="C864" i="1"/>
  <c r="C865" i="1"/>
  <c r="C866" i="1"/>
  <c r="C867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42" i="1"/>
  <c r="C871" i="1"/>
  <c r="C888" i="1"/>
  <c r="C868" i="1"/>
  <c r="C870" i="1"/>
  <c r="C848" i="1"/>
  <c r="C904" i="1"/>
  <c r="C905" i="1"/>
  <c r="C906" i="1"/>
  <c r="C930" i="1"/>
  <c r="C931" i="1"/>
  <c r="C932" i="1"/>
  <c r="C933" i="1"/>
  <c r="C934" i="1"/>
  <c r="C935" i="1"/>
  <c r="C936" i="1"/>
  <c r="C937" i="1"/>
  <c r="C938" i="1"/>
  <c r="C939" i="1"/>
  <c r="C951" i="1"/>
  <c r="C948" i="1"/>
  <c r="C949" i="1"/>
  <c r="C950" i="1"/>
  <c r="C952" i="1"/>
  <c r="C956" i="1"/>
  <c r="C953" i="1"/>
  <c r="C954" i="1"/>
  <c r="C955" i="1"/>
  <c r="C971" i="1"/>
  <c r="C972" i="1"/>
  <c r="C990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91" i="1"/>
  <c r="C986" i="1"/>
  <c r="C987" i="1"/>
  <c r="C988" i="1"/>
  <c r="C989" i="1"/>
  <c r="C1000" i="1"/>
  <c r="C1001" i="1"/>
  <c r="C1002" i="1"/>
  <c r="C1003" i="1"/>
  <c r="C1004" i="1"/>
  <c r="C1005" i="1"/>
  <c r="C1006" i="1"/>
  <c r="C1035" i="1"/>
  <c r="C1036" i="1"/>
  <c r="C1037" i="1"/>
  <c r="C1038" i="1"/>
  <c r="C994" i="1"/>
  <c r="C995" i="1"/>
  <c r="C1039" i="1"/>
  <c r="C1040" i="1"/>
  <c r="C996" i="1"/>
  <c r="C1072" i="1"/>
  <c r="C1073" i="1"/>
  <c r="C1074" i="1"/>
  <c r="C1075" i="1"/>
  <c r="C1076" i="1"/>
  <c r="C1078" i="1"/>
  <c r="C1079" i="1"/>
  <c r="C1080" i="1"/>
  <c r="C1077" i="1"/>
  <c r="C1081" i="1"/>
  <c r="C1082" i="1"/>
  <c r="C1083" i="1"/>
  <c r="C1084" i="1"/>
  <c r="C1085" i="1"/>
  <c r="C1086" i="1"/>
  <c r="C1071" i="1"/>
  <c r="C1087" i="1"/>
  <c r="C1088" i="1"/>
  <c r="C1089" i="1"/>
  <c r="C1091" i="1"/>
  <c r="C1090" i="1"/>
  <c r="C1092" i="1"/>
  <c r="C1093" i="1"/>
  <c r="C1094" i="1"/>
  <c r="AE3" i="1"/>
  <c r="AE4" i="1"/>
  <c r="AE5" i="1"/>
  <c r="AE6" i="1"/>
  <c r="AE8" i="1"/>
  <c r="AE10" i="1"/>
  <c r="AE11" i="1"/>
  <c r="AE9" i="1"/>
  <c r="AE12" i="1"/>
  <c r="AE7" i="1"/>
  <c r="AE13" i="1"/>
  <c r="AE14" i="1"/>
  <c r="AE15" i="1"/>
  <c r="AE16" i="1"/>
  <c r="AE17" i="1"/>
  <c r="AE18" i="1"/>
  <c r="AE19" i="1"/>
  <c r="AE20" i="1"/>
  <c r="AE22" i="1"/>
  <c r="AE21" i="1"/>
  <c r="AE23" i="1"/>
  <c r="AE24" i="1"/>
  <c r="AE25" i="1"/>
  <c r="AE26" i="1"/>
  <c r="AE27" i="1"/>
  <c r="AE28" i="1"/>
  <c r="AE30" i="1"/>
  <c r="AE32" i="1"/>
  <c r="AE33" i="1"/>
  <c r="AE35" i="1"/>
  <c r="AE36" i="1"/>
  <c r="AE34" i="1"/>
  <c r="AE37" i="1"/>
  <c r="AE38" i="1"/>
  <c r="AE39" i="1"/>
  <c r="AE40" i="1"/>
  <c r="AE2" i="1"/>
  <c r="P2" i="1"/>
  <c r="V2" i="1" s="1"/>
  <c r="T2" i="1"/>
  <c r="X2" i="1" s="1"/>
  <c r="N3" i="1"/>
  <c r="U3" i="1" s="1"/>
  <c r="P3" i="1"/>
  <c r="V3" i="1" s="1"/>
  <c r="R3" i="1"/>
  <c r="W3" i="1" s="1"/>
  <c r="N4" i="1"/>
  <c r="U4" i="1" s="1"/>
  <c r="P4" i="1"/>
  <c r="V4" i="1" s="1"/>
  <c r="T4" i="1"/>
  <c r="X4" i="1" s="1"/>
  <c r="V5" i="1"/>
  <c r="R5" i="1"/>
  <c r="W5" i="1" s="1"/>
  <c r="N6" i="1"/>
  <c r="U6" i="1" s="1"/>
  <c r="R6" i="1"/>
  <c r="W6" i="1" s="1"/>
  <c r="T6" i="1"/>
  <c r="X6" i="1" s="1"/>
  <c r="P7" i="1"/>
  <c r="V7" i="1" s="1"/>
  <c r="R7" i="1"/>
  <c r="W7" i="1" s="1"/>
  <c r="T7" i="1"/>
  <c r="X7" i="1" s="1"/>
  <c r="P8" i="1"/>
  <c r="V8" i="1" s="1"/>
  <c r="T8" i="1"/>
  <c r="X8" i="1" s="1"/>
  <c r="N9" i="1"/>
  <c r="U9" i="1" s="1"/>
  <c r="T9" i="1"/>
  <c r="X9" i="1" s="1"/>
  <c r="N10" i="1"/>
  <c r="U10" i="1" s="1"/>
  <c r="P10" i="1"/>
  <c r="V10" i="1" s="1"/>
  <c r="P11" i="1"/>
  <c r="V11" i="1" s="1"/>
  <c r="Y11" i="1" s="1"/>
  <c r="N12" i="1"/>
  <c r="U12" i="1" s="1"/>
  <c r="P12" i="1"/>
  <c r="V12" i="1" s="1"/>
  <c r="T12" i="1"/>
  <c r="X12" i="1" s="1"/>
  <c r="N15" i="1"/>
  <c r="U15" i="1" s="1"/>
  <c r="P15" i="1"/>
  <c r="V15" i="1" s="1"/>
  <c r="P16" i="1"/>
  <c r="V16" i="1" s="1"/>
  <c r="R16" i="1"/>
  <c r="W16" i="1" s="1"/>
  <c r="P17" i="1"/>
  <c r="V17" i="1" s="1"/>
  <c r="R17" i="1"/>
  <c r="W17" i="1" s="1"/>
  <c r="T17" i="1"/>
  <c r="X17" i="1" s="1"/>
  <c r="P18" i="1"/>
  <c r="V18" i="1" s="1"/>
  <c r="R18" i="1"/>
  <c r="W18" i="1" s="1"/>
  <c r="P19" i="1"/>
  <c r="V19" i="1" s="1"/>
  <c r="T19" i="1"/>
  <c r="X19" i="1" s="1"/>
  <c r="P20" i="1"/>
  <c r="V20" i="1" s="1"/>
  <c r="T20" i="1"/>
  <c r="X20" i="1" s="1"/>
  <c r="P21" i="1"/>
  <c r="V21" i="1" s="1"/>
  <c r="T21" i="1"/>
  <c r="X21" i="1" s="1"/>
  <c r="P22" i="1"/>
  <c r="V22" i="1" s="1"/>
  <c r="T22" i="1"/>
  <c r="X22" i="1" s="1"/>
  <c r="P23" i="1"/>
  <c r="V23" i="1" s="1"/>
  <c r="T23" i="1"/>
  <c r="X23" i="1" s="1"/>
  <c r="R24" i="1"/>
  <c r="W24" i="1" s="1"/>
  <c r="T24" i="1"/>
  <c r="X24" i="1" s="1"/>
  <c r="N25" i="1"/>
  <c r="U25" i="1" s="1"/>
  <c r="T25" i="1"/>
  <c r="X25" i="1" s="1"/>
  <c r="P26" i="1"/>
  <c r="V26" i="1" s="1"/>
  <c r="T26" i="1"/>
  <c r="X26" i="1" s="1"/>
  <c r="P27" i="1"/>
  <c r="V27" i="1" s="1"/>
  <c r="T27" i="1"/>
  <c r="X27" i="1" s="1"/>
  <c r="P28" i="1"/>
  <c r="V28" i="1" s="1"/>
  <c r="T28" i="1"/>
  <c r="X28" i="1" s="1"/>
  <c r="P29" i="1"/>
  <c r="V29" i="1" s="1"/>
  <c r="T29" i="1"/>
  <c r="X29" i="1" s="1"/>
  <c r="N30" i="1"/>
  <c r="U30" i="1" s="1"/>
  <c r="P30" i="1"/>
  <c r="V30" i="1" s="1"/>
  <c r="P31" i="1"/>
  <c r="V31" i="1" s="1"/>
  <c r="T31" i="1"/>
  <c r="X31" i="1" s="1"/>
  <c r="P32" i="1"/>
  <c r="V32" i="1" s="1"/>
  <c r="R32" i="1"/>
  <c r="W32" i="1" s="1"/>
  <c r="P33" i="1"/>
  <c r="V33" i="1" s="1"/>
  <c r="T33" i="1"/>
  <c r="X33" i="1" s="1"/>
  <c r="P34" i="1"/>
  <c r="V34" i="1" s="1"/>
  <c r="Y34" i="1" s="1"/>
  <c r="P35" i="1"/>
  <c r="V35" i="1" s="1"/>
  <c r="R35" i="1"/>
  <c r="W35" i="1" s="1"/>
  <c r="N36" i="1"/>
  <c r="U36" i="1" s="1"/>
  <c r="P36" i="1"/>
  <c r="V36" i="1" s="1"/>
  <c r="P37" i="1"/>
  <c r="V37" i="1" s="1"/>
  <c r="R37" i="1"/>
  <c r="W37" i="1" s="1"/>
  <c r="P38" i="1"/>
  <c r="V38" i="1" s="1"/>
  <c r="T38" i="1"/>
  <c r="X38" i="1" s="1"/>
  <c r="R39" i="1"/>
  <c r="W39" i="1" s="1"/>
  <c r="T39" i="1"/>
  <c r="X39" i="1" s="1"/>
  <c r="P40" i="1"/>
  <c r="V40" i="1" s="1"/>
  <c r="T40" i="1"/>
  <c r="X40" i="1" s="1"/>
  <c r="P41" i="1"/>
  <c r="V41" i="1" s="1"/>
  <c r="T41" i="1"/>
  <c r="X41" i="1" s="1"/>
  <c r="P42" i="1"/>
  <c r="V42" i="1" s="1"/>
  <c r="R42" i="1"/>
  <c r="W42" i="1" s="1"/>
  <c r="T42" i="1"/>
  <c r="X42" i="1" s="1"/>
  <c r="R43" i="1"/>
  <c r="W43" i="1" s="1"/>
  <c r="T43" i="1"/>
  <c r="X43" i="1" s="1"/>
  <c r="P44" i="1"/>
  <c r="V44" i="1" s="1"/>
  <c r="T44" i="1"/>
  <c r="X44" i="1" s="1"/>
  <c r="P45" i="1"/>
  <c r="V45" i="1" s="1"/>
  <c r="Y45" i="1" s="1"/>
  <c r="P46" i="1"/>
  <c r="V46" i="1" s="1"/>
  <c r="T46" i="1"/>
  <c r="X46" i="1" s="1"/>
  <c r="R47" i="1"/>
  <c r="W47" i="1" s="1"/>
  <c r="T47" i="1"/>
  <c r="X47" i="1" s="1"/>
  <c r="R48" i="1"/>
  <c r="W48" i="1" s="1"/>
  <c r="T48" i="1"/>
  <c r="X48" i="1" s="1"/>
  <c r="P49" i="1"/>
  <c r="V49" i="1" s="1"/>
  <c r="T49" i="1"/>
  <c r="X49" i="1" s="1"/>
  <c r="N50" i="1"/>
  <c r="U50" i="1" s="1"/>
  <c r="P50" i="1"/>
  <c r="V50" i="1" s="1"/>
  <c r="P51" i="1"/>
  <c r="V51" i="1" s="1"/>
  <c r="T51" i="1"/>
  <c r="X51" i="1" s="1"/>
  <c r="P52" i="1"/>
  <c r="V52" i="1" s="1"/>
  <c r="T52" i="1"/>
  <c r="X52" i="1" s="1"/>
  <c r="P53" i="1"/>
  <c r="V53" i="1" s="1"/>
  <c r="T53" i="1"/>
  <c r="X53" i="1" s="1"/>
  <c r="N54" i="1"/>
  <c r="U54" i="1" s="1"/>
  <c r="P54" i="1"/>
  <c r="V54" i="1" s="1"/>
  <c r="P55" i="1"/>
  <c r="V55" i="1" s="1"/>
  <c r="Y55" i="1" s="1"/>
  <c r="R56" i="1"/>
  <c r="W56" i="1" s="1"/>
  <c r="T56" i="1"/>
  <c r="X56" i="1" s="1"/>
  <c r="P57" i="1"/>
  <c r="V57" i="1" s="1"/>
  <c r="T57" i="1"/>
  <c r="X57" i="1" s="1"/>
  <c r="T58" i="1"/>
  <c r="X58" i="1" s="1"/>
  <c r="Y58" i="1" s="1"/>
  <c r="P59" i="1"/>
  <c r="V59" i="1" s="1"/>
  <c r="R59" i="1"/>
  <c r="W59" i="1" s="1"/>
  <c r="P60" i="1"/>
  <c r="V60" i="1" s="1"/>
  <c r="R60" i="1"/>
  <c r="W60" i="1" s="1"/>
  <c r="P61" i="1"/>
  <c r="V61" i="1" s="1"/>
  <c r="Y61" i="1" s="1"/>
  <c r="P62" i="1"/>
  <c r="V62" i="1" s="1"/>
  <c r="R62" i="1"/>
  <c r="W62" i="1" s="1"/>
  <c r="P13" i="1"/>
  <c r="V13" i="1" s="1"/>
  <c r="R13" i="1"/>
  <c r="W13" i="1" s="1"/>
  <c r="N14" i="1"/>
  <c r="U14" i="1" s="1"/>
  <c r="P14" i="1"/>
  <c r="V14" i="1" s="1"/>
  <c r="R14" i="1"/>
  <c r="W14" i="1" s="1"/>
  <c r="P81" i="1"/>
  <c r="V81" i="1" s="1"/>
  <c r="R81" i="1"/>
  <c r="W81" i="1" s="1"/>
  <c r="P82" i="1"/>
  <c r="V82" i="1" s="1"/>
  <c r="T82" i="1"/>
  <c r="X82" i="1" s="1"/>
  <c r="P83" i="1"/>
  <c r="V83" i="1" s="1"/>
  <c r="R83" i="1"/>
  <c r="W83" i="1" s="1"/>
  <c r="P84" i="1"/>
  <c r="V84" i="1" s="1"/>
  <c r="T84" i="1"/>
  <c r="X84" i="1" s="1"/>
  <c r="P85" i="1"/>
  <c r="V85" i="1" s="1"/>
  <c r="T85" i="1"/>
  <c r="X85" i="1" s="1"/>
  <c r="N86" i="1"/>
  <c r="U86" i="1" s="1"/>
  <c r="P86" i="1"/>
  <c r="V86" i="1" s="1"/>
  <c r="N87" i="1"/>
  <c r="U87" i="1" s="1"/>
  <c r="P87" i="1"/>
  <c r="V87" i="1" s="1"/>
  <c r="T87" i="1"/>
  <c r="X87" i="1" s="1"/>
  <c r="P63" i="1"/>
  <c r="V63" i="1" s="1"/>
  <c r="T63" i="1"/>
  <c r="X63" i="1" s="1"/>
  <c r="P64" i="1"/>
  <c r="V64" i="1" s="1"/>
  <c r="T64" i="1"/>
  <c r="X64" i="1" s="1"/>
  <c r="P65" i="1"/>
  <c r="V65" i="1" s="1"/>
  <c r="T65" i="1"/>
  <c r="X65" i="1" s="1"/>
  <c r="P66" i="1"/>
  <c r="V66" i="1" s="1"/>
  <c r="R66" i="1"/>
  <c r="W66" i="1" s="1"/>
  <c r="P67" i="1"/>
  <c r="V67" i="1" s="1"/>
  <c r="T67" i="1"/>
  <c r="X67" i="1" s="1"/>
  <c r="P68" i="1"/>
  <c r="V68" i="1" s="1"/>
  <c r="T68" i="1"/>
  <c r="X68" i="1" s="1"/>
  <c r="P69" i="1"/>
  <c r="V69" i="1" s="1"/>
  <c r="Y69" i="1" s="1"/>
  <c r="N70" i="1"/>
  <c r="U70" i="1" s="1"/>
  <c r="T70" i="1"/>
  <c r="X70" i="1" s="1"/>
  <c r="R71" i="1"/>
  <c r="W71" i="1" s="1"/>
  <c r="T71" i="1"/>
  <c r="X71" i="1" s="1"/>
  <c r="P72" i="1"/>
  <c r="V72" i="1" s="1"/>
  <c r="Y72" i="1" s="1"/>
  <c r="P73" i="1"/>
  <c r="V73" i="1" s="1"/>
  <c r="T73" i="1"/>
  <c r="X73" i="1" s="1"/>
  <c r="P74" i="1"/>
  <c r="V74" i="1" s="1"/>
  <c r="R74" i="1"/>
  <c r="W74" i="1" s="1"/>
  <c r="N75" i="1"/>
  <c r="U75" i="1" s="1"/>
  <c r="P75" i="1"/>
  <c r="V75" i="1" s="1"/>
  <c r="P76" i="1"/>
  <c r="V76" i="1" s="1"/>
  <c r="R76" i="1"/>
  <c r="W76" i="1" s="1"/>
  <c r="N77" i="1"/>
  <c r="U77" i="1" s="1"/>
  <c r="P77" i="1"/>
  <c r="V77" i="1" s="1"/>
  <c r="P78" i="1"/>
  <c r="V78" i="1" s="1"/>
  <c r="T78" i="1"/>
  <c r="X78" i="1" s="1"/>
  <c r="P79" i="1"/>
  <c r="V79" i="1" s="1"/>
  <c r="T79" i="1"/>
  <c r="X79" i="1" s="1"/>
  <c r="N80" i="1"/>
  <c r="U80" i="1" s="1"/>
  <c r="T80" i="1"/>
  <c r="X80" i="1" s="1"/>
  <c r="P88" i="1"/>
  <c r="V88" i="1" s="1"/>
  <c r="Y88" i="1" s="1"/>
  <c r="P89" i="1"/>
  <c r="V89" i="1" s="1"/>
  <c r="T89" i="1"/>
  <c r="X89" i="1" s="1"/>
  <c r="P90" i="1"/>
  <c r="V90" i="1" s="1"/>
  <c r="R90" i="1"/>
  <c r="W90" i="1" s="1"/>
  <c r="T90" i="1"/>
  <c r="X90" i="1" s="1"/>
  <c r="P91" i="1"/>
  <c r="V91" i="1" s="1"/>
  <c r="T91" i="1"/>
  <c r="X91" i="1" s="1"/>
  <c r="P92" i="1"/>
  <c r="V92" i="1" s="1"/>
  <c r="T92" i="1"/>
  <c r="X92" i="1" s="1"/>
  <c r="P93" i="1"/>
  <c r="V93" i="1" s="1"/>
  <c r="T93" i="1"/>
  <c r="X93" i="1" s="1"/>
  <c r="P94" i="1"/>
  <c r="V94" i="1" s="1"/>
  <c r="T94" i="1"/>
  <c r="X94" i="1" s="1"/>
  <c r="P95" i="1"/>
  <c r="V95" i="1" s="1"/>
  <c r="T95" i="1"/>
  <c r="X95" i="1" s="1"/>
  <c r="P96" i="1"/>
  <c r="V96" i="1" s="1"/>
  <c r="T96" i="1"/>
  <c r="X96" i="1" s="1"/>
  <c r="R97" i="1"/>
  <c r="W97" i="1" s="1"/>
  <c r="Y97" i="1" s="1"/>
  <c r="P98" i="1"/>
  <c r="V98" i="1" s="1"/>
  <c r="T98" i="1"/>
  <c r="X98" i="1" s="1"/>
  <c r="N99" i="1"/>
  <c r="U99" i="1" s="1"/>
  <c r="P99" i="1"/>
  <c r="V99" i="1" s="1"/>
  <c r="P100" i="1"/>
  <c r="V100" i="1" s="1"/>
  <c r="T100" i="1"/>
  <c r="X100" i="1" s="1"/>
  <c r="P101" i="1"/>
  <c r="V101" i="1" s="1"/>
  <c r="T101" i="1"/>
  <c r="X101" i="1" s="1"/>
  <c r="P102" i="1"/>
  <c r="V102" i="1" s="1"/>
  <c r="R102" i="1"/>
  <c r="W102" i="1" s="1"/>
  <c r="T102" i="1"/>
  <c r="X102" i="1" s="1"/>
  <c r="P103" i="1"/>
  <c r="V103" i="1" s="1"/>
  <c r="T103" i="1"/>
  <c r="X103" i="1" s="1"/>
  <c r="P104" i="1"/>
  <c r="V104" i="1" s="1"/>
  <c r="T104" i="1"/>
  <c r="X104" i="1" s="1"/>
  <c r="P105" i="1"/>
  <c r="V105" i="1" s="1"/>
  <c r="T105" i="1"/>
  <c r="X105" i="1" s="1"/>
  <c r="P106" i="1"/>
  <c r="V106" i="1" s="1"/>
  <c r="T106" i="1"/>
  <c r="X106" i="1" s="1"/>
  <c r="N107" i="1"/>
  <c r="U107" i="1" s="1"/>
  <c r="P107" i="1"/>
  <c r="V107" i="1" s="1"/>
  <c r="R107" i="1"/>
  <c r="W107" i="1" s="1"/>
  <c r="T107" i="1"/>
  <c r="X107" i="1" s="1"/>
  <c r="N108" i="1"/>
  <c r="U108" i="1" s="1"/>
  <c r="P108" i="1"/>
  <c r="V108" i="1" s="1"/>
  <c r="N109" i="1"/>
  <c r="U109" i="1" s="1"/>
  <c r="P109" i="1"/>
  <c r="V109" i="1" s="1"/>
  <c r="T109" i="1"/>
  <c r="X109" i="1" s="1"/>
  <c r="P110" i="1"/>
  <c r="V110" i="1" s="1"/>
  <c r="Y110" i="1" s="1"/>
  <c r="P112" i="1"/>
  <c r="V112" i="1" s="1"/>
  <c r="Y112" i="1" s="1"/>
  <c r="N113" i="1"/>
  <c r="U113" i="1" s="1"/>
  <c r="P113" i="1"/>
  <c r="V113" i="1" s="1"/>
  <c r="P111" i="1"/>
  <c r="V111" i="1" s="1"/>
  <c r="T111" i="1"/>
  <c r="X111" i="1" s="1"/>
  <c r="P114" i="1"/>
  <c r="V114" i="1" s="1"/>
  <c r="R114" i="1"/>
  <c r="W114" i="1" s="1"/>
  <c r="P115" i="1"/>
  <c r="V115" i="1" s="1"/>
  <c r="Y115" i="1" s="1"/>
  <c r="P138" i="1"/>
  <c r="V138" i="1" s="1"/>
  <c r="R138" i="1"/>
  <c r="W138" i="1" s="1"/>
  <c r="T138" i="1"/>
  <c r="X138" i="1" s="1"/>
  <c r="P136" i="1"/>
  <c r="V136" i="1" s="1"/>
  <c r="R136" i="1"/>
  <c r="W136" i="1" s="1"/>
  <c r="X136" i="1"/>
  <c r="P139" i="1"/>
  <c r="V139" i="1" s="1"/>
  <c r="T139" i="1"/>
  <c r="X139" i="1" s="1"/>
  <c r="P140" i="1"/>
  <c r="V140" i="1" s="1"/>
  <c r="R140" i="1"/>
  <c r="W140" i="1" s="1"/>
  <c r="T140" i="1"/>
  <c r="X140" i="1" s="1"/>
  <c r="P141" i="1"/>
  <c r="V141" i="1" s="1"/>
  <c r="R141" i="1"/>
  <c r="W141" i="1" s="1"/>
  <c r="T141" i="1"/>
  <c r="X141" i="1" s="1"/>
  <c r="P137" i="1"/>
  <c r="V137" i="1" s="1"/>
  <c r="T137" i="1"/>
  <c r="X137" i="1" s="1"/>
  <c r="P142" i="1"/>
  <c r="V142" i="1" s="1"/>
  <c r="T142" i="1"/>
  <c r="X142" i="1" s="1"/>
  <c r="U143" i="1"/>
  <c r="T143" i="1"/>
  <c r="X143" i="1" s="1"/>
  <c r="P144" i="1"/>
  <c r="V144" i="1" s="1"/>
  <c r="Y144" i="1" s="1"/>
  <c r="P145" i="1"/>
  <c r="V145" i="1" s="1"/>
  <c r="R145" i="1"/>
  <c r="W145" i="1" s="1"/>
  <c r="P146" i="1"/>
  <c r="V146" i="1" s="1"/>
  <c r="Y146" i="1" s="1"/>
  <c r="P147" i="1"/>
  <c r="V147" i="1" s="1"/>
  <c r="Y147" i="1" s="1"/>
  <c r="P148" i="1"/>
  <c r="V148" i="1" s="1"/>
  <c r="T148" i="1"/>
  <c r="X148" i="1" s="1"/>
  <c r="P127" i="1"/>
  <c r="V127" i="1" s="1"/>
  <c r="T127" i="1"/>
  <c r="X127" i="1" s="1"/>
  <c r="P128" i="1"/>
  <c r="V128" i="1" s="1"/>
  <c r="T128" i="1"/>
  <c r="X128" i="1" s="1"/>
  <c r="P129" i="1"/>
  <c r="V129" i="1" s="1"/>
  <c r="Y129" i="1" s="1"/>
  <c r="P130" i="1"/>
  <c r="V130" i="1" s="1"/>
  <c r="T130" i="1"/>
  <c r="X130" i="1" s="1"/>
  <c r="P131" i="1"/>
  <c r="V131" i="1" s="1"/>
  <c r="T131" i="1"/>
  <c r="X131" i="1" s="1"/>
  <c r="P132" i="1"/>
  <c r="V132" i="1" s="1"/>
  <c r="T132" i="1"/>
  <c r="X132" i="1" s="1"/>
  <c r="P133" i="1"/>
  <c r="V133" i="1" s="1"/>
  <c r="T133" i="1"/>
  <c r="X133" i="1" s="1"/>
  <c r="P134" i="1"/>
  <c r="V134" i="1" s="1"/>
  <c r="T134" i="1"/>
  <c r="X134" i="1" s="1"/>
  <c r="P126" i="1"/>
  <c r="V126" i="1" s="1"/>
  <c r="T126" i="1"/>
  <c r="X126" i="1" s="1"/>
  <c r="P135" i="1"/>
  <c r="V135" i="1" s="1"/>
  <c r="Y135" i="1" s="1"/>
  <c r="P116" i="1"/>
  <c r="V116" i="1" s="1"/>
  <c r="T116" i="1"/>
  <c r="X116" i="1" s="1"/>
  <c r="N117" i="1"/>
  <c r="U117" i="1" s="1"/>
  <c r="P117" i="1"/>
  <c r="V117" i="1" s="1"/>
  <c r="P118" i="1"/>
  <c r="V118" i="1" s="1"/>
  <c r="Y118" i="1" s="1"/>
  <c r="P119" i="1"/>
  <c r="V119" i="1" s="1"/>
  <c r="Y119" i="1" s="1"/>
  <c r="N120" i="1"/>
  <c r="U120" i="1" s="1"/>
  <c r="P120" i="1"/>
  <c r="V120" i="1" s="1"/>
  <c r="P121" i="1"/>
  <c r="V121" i="1" s="1"/>
  <c r="T121" i="1"/>
  <c r="X121" i="1" s="1"/>
  <c r="P122" i="1"/>
  <c r="V122" i="1" s="1"/>
  <c r="T122" i="1"/>
  <c r="X122" i="1" s="1"/>
  <c r="P123" i="1"/>
  <c r="V123" i="1" s="1"/>
  <c r="T123" i="1"/>
  <c r="X123" i="1" s="1"/>
  <c r="P124" i="1"/>
  <c r="V124" i="1" s="1"/>
  <c r="T124" i="1"/>
  <c r="X124" i="1" s="1"/>
  <c r="P125" i="1"/>
  <c r="V125" i="1" s="1"/>
  <c r="T125" i="1"/>
  <c r="X125" i="1" s="1"/>
  <c r="P150" i="1"/>
  <c r="V150" i="1" s="1"/>
  <c r="T150" i="1"/>
  <c r="X150" i="1" s="1"/>
  <c r="U151" i="1"/>
  <c r="P151" i="1"/>
  <c r="V151" i="1" s="1"/>
  <c r="X151" i="1"/>
  <c r="N152" i="1"/>
  <c r="U152" i="1" s="1"/>
  <c r="P152" i="1"/>
  <c r="V152" i="1" s="1"/>
  <c r="R152" i="1"/>
  <c r="W152" i="1" s="1"/>
  <c r="P153" i="1"/>
  <c r="V153" i="1" s="1"/>
  <c r="R153" i="1"/>
  <c r="W153" i="1" s="1"/>
  <c r="U155" i="1"/>
  <c r="V155" i="1"/>
  <c r="W155" i="1"/>
  <c r="X155" i="1"/>
  <c r="N156" i="1"/>
  <c r="U156" i="1" s="1"/>
  <c r="P156" i="1"/>
  <c r="V156" i="1" s="1"/>
  <c r="X156" i="1"/>
  <c r="P157" i="1"/>
  <c r="V157" i="1" s="1"/>
  <c r="T157" i="1"/>
  <c r="X157" i="1" s="1"/>
  <c r="P160" i="1"/>
  <c r="V160" i="1" s="1"/>
  <c r="T160" i="1"/>
  <c r="X160" i="1" s="1"/>
  <c r="T154" i="1"/>
  <c r="X154" i="1" s="1"/>
  <c r="Y154" i="1" s="1"/>
  <c r="P158" i="1"/>
  <c r="V158" i="1" s="1"/>
  <c r="T158" i="1"/>
  <c r="X158" i="1" s="1"/>
  <c r="P149" i="1"/>
  <c r="V149" i="1" s="1"/>
  <c r="T149" i="1"/>
  <c r="X149" i="1" s="1"/>
  <c r="V159" i="1"/>
  <c r="T159" i="1"/>
  <c r="X159" i="1" s="1"/>
  <c r="U162" i="1"/>
  <c r="R162" i="1"/>
  <c r="W162" i="1" s="1"/>
  <c r="N161" i="1"/>
  <c r="U161" i="1" s="1"/>
  <c r="R161" i="1"/>
  <c r="W161" i="1" s="1"/>
  <c r="T161" i="1"/>
  <c r="X161" i="1" s="1"/>
  <c r="R163" i="1"/>
  <c r="W163" i="1" s="1"/>
  <c r="X163" i="1"/>
  <c r="R164" i="1"/>
  <c r="W164" i="1" s="1"/>
  <c r="Y164" i="1" s="1"/>
  <c r="N165" i="1"/>
  <c r="U165" i="1" s="1"/>
  <c r="P165" i="1"/>
  <c r="V165" i="1" s="1"/>
  <c r="R165" i="1"/>
  <c r="W165" i="1" s="1"/>
  <c r="T165" i="1"/>
  <c r="X165" i="1" s="1"/>
  <c r="P166" i="1"/>
  <c r="V166" i="1" s="1"/>
  <c r="R166" i="1"/>
  <c r="W166" i="1" s="1"/>
  <c r="N167" i="1"/>
  <c r="U167" i="1" s="1"/>
  <c r="P167" i="1"/>
  <c r="V167" i="1" s="1"/>
  <c r="T167" i="1"/>
  <c r="X167" i="1" s="1"/>
  <c r="P168" i="1"/>
  <c r="V168" i="1" s="1"/>
  <c r="R168" i="1"/>
  <c r="W168" i="1" s="1"/>
  <c r="T168" i="1"/>
  <c r="X168" i="1" s="1"/>
  <c r="N250" i="1"/>
  <c r="U250" i="1" s="1"/>
  <c r="R250" i="1"/>
  <c r="W250" i="1" s="1"/>
  <c r="T250" i="1"/>
  <c r="X250" i="1" s="1"/>
  <c r="P251" i="1"/>
  <c r="V251" i="1" s="1"/>
  <c r="R251" i="1"/>
  <c r="W251" i="1" s="1"/>
  <c r="T251" i="1"/>
  <c r="X251" i="1" s="1"/>
  <c r="R252" i="1"/>
  <c r="W252" i="1" s="1"/>
  <c r="T252" i="1"/>
  <c r="X252" i="1" s="1"/>
  <c r="N253" i="1"/>
  <c r="U253" i="1" s="1"/>
  <c r="P253" i="1"/>
  <c r="V253" i="1" s="1"/>
  <c r="T253" i="1"/>
  <c r="X253" i="1" s="1"/>
  <c r="N254" i="1"/>
  <c r="U254" i="1" s="1"/>
  <c r="Y254" i="1" s="1"/>
  <c r="P255" i="1"/>
  <c r="V255" i="1" s="1"/>
  <c r="R255" i="1"/>
  <c r="W255" i="1" s="1"/>
  <c r="P256" i="1"/>
  <c r="V256" i="1" s="1"/>
  <c r="T256" i="1"/>
  <c r="X256" i="1" s="1"/>
  <c r="P170" i="1"/>
  <c r="V170" i="1" s="1"/>
  <c r="R170" i="1"/>
  <c r="W170" i="1" s="1"/>
  <c r="T170" i="1"/>
  <c r="X170" i="1" s="1"/>
  <c r="R171" i="1"/>
  <c r="W171" i="1" s="1"/>
  <c r="T171" i="1"/>
  <c r="X171" i="1" s="1"/>
  <c r="N172" i="1"/>
  <c r="U172" i="1" s="1"/>
  <c r="P172" i="1"/>
  <c r="V172" i="1" s="1"/>
  <c r="T173" i="1"/>
  <c r="X173" i="1" s="1"/>
  <c r="Y173" i="1" s="1"/>
  <c r="P174" i="1"/>
  <c r="V174" i="1" s="1"/>
  <c r="R174" i="1"/>
  <c r="W174" i="1" s="1"/>
  <c r="P175" i="1"/>
  <c r="V175" i="1" s="1"/>
  <c r="T175" i="1"/>
  <c r="X175" i="1" s="1"/>
  <c r="P177" i="1"/>
  <c r="V177" i="1" s="1"/>
  <c r="R177" i="1"/>
  <c r="W177" i="1" s="1"/>
  <c r="T177" i="1"/>
  <c r="X177" i="1" s="1"/>
  <c r="U178" i="1"/>
  <c r="P178" i="1"/>
  <c r="V178" i="1" s="1"/>
  <c r="T178" i="1"/>
  <c r="X178" i="1" s="1"/>
  <c r="N179" i="1"/>
  <c r="U179" i="1" s="1"/>
  <c r="P179" i="1"/>
  <c r="V179" i="1" s="1"/>
  <c r="P180" i="1"/>
  <c r="V180" i="1" s="1"/>
  <c r="R180" i="1"/>
  <c r="W180" i="1" s="1"/>
  <c r="T180" i="1"/>
  <c r="X180" i="1" s="1"/>
  <c r="P181" i="1"/>
  <c r="V181" i="1" s="1"/>
  <c r="R181" i="1"/>
  <c r="W181" i="1" s="1"/>
  <c r="T181" i="1"/>
  <c r="X181" i="1" s="1"/>
  <c r="P182" i="1"/>
  <c r="V182" i="1" s="1"/>
  <c r="R182" i="1"/>
  <c r="W182" i="1" s="1"/>
  <c r="T182" i="1"/>
  <c r="X182" i="1" s="1"/>
  <c r="N183" i="1"/>
  <c r="U183" i="1" s="1"/>
  <c r="P183" i="1"/>
  <c r="V183" i="1" s="1"/>
  <c r="R183" i="1"/>
  <c r="W183" i="1" s="1"/>
  <c r="T183" i="1"/>
  <c r="X183" i="1" s="1"/>
  <c r="P184" i="1"/>
  <c r="V184" i="1" s="1"/>
  <c r="T184" i="1"/>
  <c r="X184" i="1" s="1"/>
  <c r="N185" i="1"/>
  <c r="U185" i="1" s="1"/>
  <c r="P185" i="1"/>
  <c r="V185" i="1" s="1"/>
  <c r="X185" i="1"/>
  <c r="P186" i="1"/>
  <c r="V186" i="1" s="1"/>
  <c r="R186" i="1"/>
  <c r="W186" i="1" s="1"/>
  <c r="T186" i="1"/>
  <c r="X186" i="1" s="1"/>
  <c r="P187" i="1"/>
  <c r="V187" i="1" s="1"/>
  <c r="T187" i="1"/>
  <c r="X187" i="1" s="1"/>
  <c r="N188" i="1"/>
  <c r="U188" i="1" s="1"/>
  <c r="P188" i="1"/>
  <c r="V188" i="1" s="1"/>
  <c r="R188" i="1"/>
  <c r="W188" i="1" s="1"/>
  <c r="P189" i="1"/>
  <c r="V189" i="1" s="1"/>
  <c r="T189" i="1"/>
  <c r="X189" i="1" s="1"/>
  <c r="P190" i="1"/>
  <c r="V190" i="1" s="1"/>
  <c r="T190" i="1"/>
  <c r="X190" i="1" s="1"/>
  <c r="N191" i="1"/>
  <c r="U191" i="1" s="1"/>
  <c r="P191" i="1"/>
  <c r="V191" i="1" s="1"/>
  <c r="T191" i="1"/>
  <c r="X191" i="1" s="1"/>
  <c r="P192" i="1"/>
  <c r="V192" i="1" s="1"/>
  <c r="T192" i="1"/>
  <c r="X192" i="1" s="1"/>
  <c r="N193" i="1"/>
  <c r="U193" i="1" s="1"/>
  <c r="P193" i="1"/>
  <c r="V193" i="1" s="1"/>
  <c r="T193" i="1"/>
  <c r="X193" i="1" s="1"/>
  <c r="P194" i="1"/>
  <c r="V194" i="1" s="1"/>
  <c r="R194" i="1"/>
  <c r="W194" i="1" s="1"/>
  <c r="N195" i="1"/>
  <c r="U195" i="1" s="1"/>
  <c r="P195" i="1"/>
  <c r="V195" i="1" s="1"/>
  <c r="T195" i="1"/>
  <c r="X195" i="1" s="1"/>
  <c r="P196" i="1"/>
  <c r="V196" i="1" s="1"/>
  <c r="T196" i="1"/>
  <c r="X196" i="1" s="1"/>
  <c r="P197" i="1"/>
  <c r="V197" i="1" s="1"/>
  <c r="X197" i="1"/>
  <c r="P198" i="1"/>
  <c r="V198" i="1" s="1"/>
  <c r="T198" i="1"/>
  <c r="X198" i="1" s="1"/>
  <c r="P258" i="1"/>
  <c r="V258" i="1" s="1"/>
  <c r="T258" i="1"/>
  <c r="X258" i="1" s="1"/>
  <c r="N259" i="1"/>
  <c r="U259" i="1" s="1"/>
  <c r="P259" i="1"/>
  <c r="V259" i="1" s="1"/>
  <c r="T259" i="1"/>
  <c r="X259" i="1" s="1"/>
  <c r="P260" i="1"/>
  <c r="V260" i="1" s="1"/>
  <c r="T260" i="1"/>
  <c r="X260" i="1" s="1"/>
  <c r="R199" i="1"/>
  <c r="W199" i="1" s="1"/>
  <c r="T199" i="1"/>
  <c r="X199" i="1" s="1"/>
  <c r="P200" i="1"/>
  <c r="V200" i="1" s="1"/>
  <c r="T200" i="1"/>
  <c r="X200" i="1" s="1"/>
  <c r="P201" i="1"/>
  <c r="V201" i="1" s="1"/>
  <c r="T201" i="1"/>
  <c r="X201" i="1" s="1"/>
  <c r="P202" i="1"/>
  <c r="V202" i="1" s="1"/>
  <c r="T202" i="1"/>
  <c r="X202" i="1" s="1"/>
  <c r="P203" i="1"/>
  <c r="V203" i="1" s="1"/>
  <c r="T203" i="1"/>
  <c r="X203" i="1" s="1"/>
  <c r="P204" i="1"/>
  <c r="V204" i="1" s="1"/>
  <c r="T204" i="1"/>
  <c r="X204" i="1" s="1"/>
  <c r="N205" i="1"/>
  <c r="U205" i="1" s="1"/>
  <c r="R205" i="1"/>
  <c r="W205" i="1" s="1"/>
  <c r="T205" i="1"/>
  <c r="X205" i="1" s="1"/>
  <c r="P206" i="1"/>
  <c r="V206" i="1" s="1"/>
  <c r="T206" i="1"/>
  <c r="X206" i="1" s="1"/>
  <c r="N207" i="1"/>
  <c r="U207" i="1" s="1"/>
  <c r="R207" i="1"/>
  <c r="W207" i="1" s="1"/>
  <c r="T207" i="1"/>
  <c r="X207" i="1" s="1"/>
  <c r="P208" i="1"/>
  <c r="V208" i="1" s="1"/>
  <c r="T208" i="1"/>
  <c r="X208" i="1" s="1"/>
  <c r="P209" i="1"/>
  <c r="V209" i="1" s="1"/>
  <c r="R209" i="1"/>
  <c r="W209" i="1" s="1"/>
  <c r="P210" i="1"/>
  <c r="V210" i="1" s="1"/>
  <c r="T210" i="1"/>
  <c r="X210" i="1" s="1"/>
  <c r="P211" i="1"/>
  <c r="V211" i="1" s="1"/>
  <c r="T211" i="1"/>
  <c r="X211" i="1" s="1"/>
  <c r="P212" i="1"/>
  <c r="V212" i="1" s="1"/>
  <c r="T212" i="1"/>
  <c r="X212" i="1" s="1"/>
  <c r="P213" i="1"/>
  <c r="V213" i="1" s="1"/>
  <c r="T213" i="1"/>
  <c r="X213" i="1" s="1"/>
  <c r="N214" i="1"/>
  <c r="U214" i="1" s="1"/>
  <c r="T214" i="1"/>
  <c r="X214" i="1" s="1"/>
  <c r="P215" i="1"/>
  <c r="V215" i="1" s="1"/>
  <c r="T215" i="1"/>
  <c r="X215" i="1" s="1"/>
  <c r="N216" i="1"/>
  <c r="U216" i="1" s="1"/>
  <c r="P216" i="1"/>
  <c r="V216" i="1" s="1"/>
  <c r="P217" i="1"/>
  <c r="V217" i="1" s="1"/>
  <c r="T217" i="1"/>
  <c r="X217" i="1" s="1"/>
  <c r="N218" i="1"/>
  <c r="U218" i="1" s="1"/>
  <c r="P218" i="1"/>
  <c r="V218" i="1" s="1"/>
  <c r="T218" i="1"/>
  <c r="X218" i="1" s="1"/>
  <c r="N219" i="1"/>
  <c r="U219" i="1" s="1"/>
  <c r="P219" i="1"/>
  <c r="V219" i="1" s="1"/>
  <c r="T219" i="1"/>
  <c r="X219" i="1" s="1"/>
  <c r="P220" i="1"/>
  <c r="V220" i="1" s="1"/>
  <c r="T220" i="1"/>
  <c r="X220" i="1" s="1"/>
  <c r="P221" i="1"/>
  <c r="V221" i="1" s="1"/>
  <c r="T221" i="1"/>
  <c r="X221" i="1" s="1"/>
  <c r="P222" i="1"/>
  <c r="V222" i="1" s="1"/>
  <c r="T222" i="1"/>
  <c r="X222" i="1" s="1"/>
  <c r="P223" i="1"/>
  <c r="V223" i="1" s="1"/>
  <c r="R223" i="1"/>
  <c r="W223" i="1" s="1"/>
  <c r="P224" i="1"/>
  <c r="V224" i="1" s="1"/>
  <c r="T224" i="1"/>
  <c r="X224" i="1" s="1"/>
  <c r="P225" i="1"/>
  <c r="V225" i="1" s="1"/>
  <c r="T225" i="1"/>
  <c r="X225" i="1" s="1"/>
  <c r="N176" i="1"/>
  <c r="U176" i="1" s="1"/>
  <c r="P176" i="1"/>
  <c r="V176" i="1" s="1"/>
  <c r="N257" i="1"/>
  <c r="U257" i="1" s="1"/>
  <c r="P257" i="1"/>
  <c r="V257" i="1" s="1"/>
  <c r="N249" i="1"/>
  <c r="U249" i="1" s="1"/>
  <c r="R249" i="1"/>
  <c r="W249" i="1" s="1"/>
  <c r="T249" i="1"/>
  <c r="X249" i="1" s="1"/>
  <c r="P239" i="1"/>
  <c r="V239" i="1" s="1"/>
  <c r="T239" i="1"/>
  <c r="X239" i="1" s="1"/>
  <c r="N240" i="1"/>
  <c r="U240" i="1" s="1"/>
  <c r="P240" i="1"/>
  <c r="V240" i="1" s="1"/>
  <c r="R240" i="1"/>
  <c r="W240" i="1" s="1"/>
  <c r="N263" i="1"/>
  <c r="U263" i="1" s="1"/>
  <c r="V263" i="1"/>
  <c r="T263" i="1"/>
  <c r="X263" i="1" s="1"/>
  <c r="P264" i="1"/>
  <c r="V264" i="1" s="1"/>
  <c r="R264" i="1"/>
  <c r="W264" i="1" s="1"/>
  <c r="T264" i="1"/>
  <c r="X264" i="1" s="1"/>
  <c r="P265" i="1"/>
  <c r="V265" i="1" s="1"/>
  <c r="R265" i="1"/>
  <c r="W265" i="1" s="1"/>
  <c r="T265" i="1"/>
  <c r="X265" i="1" s="1"/>
  <c r="P266" i="1"/>
  <c r="V266" i="1" s="1"/>
  <c r="T266" i="1"/>
  <c r="X266" i="1" s="1"/>
  <c r="N308" i="1"/>
  <c r="U308" i="1" s="1"/>
  <c r="P308" i="1"/>
  <c r="V308" i="1" s="1"/>
  <c r="R308" i="1"/>
  <c r="W308" i="1" s="1"/>
  <c r="T308" i="1"/>
  <c r="X308" i="1" s="1"/>
  <c r="V267" i="1"/>
  <c r="X267" i="1"/>
  <c r="P268" i="1"/>
  <c r="V268" i="1" s="1"/>
  <c r="R268" i="1"/>
  <c r="W268" i="1" s="1"/>
  <c r="X268" i="1"/>
  <c r="P269" i="1"/>
  <c r="V269" i="1" s="1"/>
  <c r="R269" i="1"/>
  <c r="W269" i="1" s="1"/>
  <c r="X269" i="1"/>
  <c r="V270" i="1"/>
  <c r="R270" i="1"/>
  <c r="W270" i="1" s="1"/>
  <c r="X270" i="1"/>
  <c r="P271" i="1"/>
  <c r="V271" i="1" s="1"/>
  <c r="R271" i="1"/>
  <c r="W271" i="1" s="1"/>
  <c r="T271" i="1"/>
  <c r="X271" i="1" s="1"/>
  <c r="P272" i="1"/>
  <c r="V272" i="1" s="1"/>
  <c r="R272" i="1"/>
  <c r="W272" i="1" s="1"/>
  <c r="T272" i="1"/>
  <c r="X272" i="1" s="1"/>
  <c r="P273" i="1"/>
  <c r="V273" i="1" s="1"/>
  <c r="T273" i="1"/>
  <c r="X273" i="1" s="1"/>
  <c r="U274" i="1"/>
  <c r="V274" i="1"/>
  <c r="R274" i="1"/>
  <c r="W274" i="1" s="1"/>
  <c r="P275" i="1"/>
  <c r="V275" i="1" s="1"/>
  <c r="Y275" i="1" s="1"/>
  <c r="P276" i="1"/>
  <c r="V276" i="1" s="1"/>
  <c r="T276" i="1"/>
  <c r="X276" i="1" s="1"/>
  <c r="P277" i="1"/>
  <c r="V277" i="1" s="1"/>
  <c r="T277" i="1"/>
  <c r="X277" i="1" s="1"/>
  <c r="P278" i="1"/>
  <c r="V278" i="1" s="1"/>
  <c r="R278" i="1"/>
  <c r="W278" i="1" s="1"/>
  <c r="T278" i="1"/>
  <c r="X278" i="1" s="1"/>
  <c r="P279" i="1"/>
  <c r="V279" i="1" s="1"/>
  <c r="T279" i="1"/>
  <c r="X279" i="1" s="1"/>
  <c r="P280" i="1"/>
  <c r="V280" i="1" s="1"/>
  <c r="T280" i="1"/>
  <c r="X280" i="1" s="1"/>
  <c r="N281" i="1"/>
  <c r="U281" i="1" s="1"/>
  <c r="P281" i="1"/>
  <c r="V281" i="1" s="1"/>
  <c r="R281" i="1"/>
  <c r="W281" i="1" s="1"/>
  <c r="P282" i="1"/>
  <c r="V282" i="1" s="1"/>
  <c r="X282" i="1"/>
  <c r="R283" i="1"/>
  <c r="W283" i="1" s="1"/>
  <c r="Y283" i="1" s="1"/>
  <c r="N297" i="1"/>
  <c r="U297" i="1" s="1"/>
  <c r="P297" i="1"/>
  <c r="V297" i="1" s="1"/>
  <c r="R297" i="1"/>
  <c r="W297" i="1" s="1"/>
  <c r="T297" i="1"/>
  <c r="X297" i="1" s="1"/>
  <c r="N298" i="1"/>
  <c r="U298" i="1" s="1"/>
  <c r="P298" i="1"/>
  <c r="V298" i="1" s="1"/>
  <c r="T298" i="1"/>
  <c r="X298" i="1" s="1"/>
  <c r="N299" i="1"/>
  <c r="U299" i="1" s="1"/>
  <c r="P299" i="1"/>
  <c r="V299" i="1" s="1"/>
  <c r="R299" i="1"/>
  <c r="W299" i="1" s="1"/>
  <c r="T299" i="1"/>
  <c r="X299" i="1" s="1"/>
  <c r="N300" i="1"/>
  <c r="U300" i="1" s="1"/>
  <c r="P300" i="1"/>
  <c r="V300" i="1" s="1"/>
  <c r="R300" i="1"/>
  <c r="W300" i="1" s="1"/>
  <c r="T300" i="1"/>
  <c r="X300" i="1" s="1"/>
  <c r="N301" i="1"/>
  <c r="U301" i="1" s="1"/>
  <c r="P301" i="1"/>
  <c r="V301" i="1" s="1"/>
  <c r="R301" i="1"/>
  <c r="W301" i="1" s="1"/>
  <c r="R302" i="1"/>
  <c r="W302" i="1" s="1"/>
  <c r="T302" i="1"/>
  <c r="X302" i="1" s="1"/>
  <c r="N303" i="1"/>
  <c r="U303" i="1" s="1"/>
  <c r="P303" i="1"/>
  <c r="V303" i="1" s="1"/>
  <c r="P304" i="1"/>
  <c r="V304" i="1" s="1"/>
  <c r="T304" i="1"/>
  <c r="X304" i="1" s="1"/>
  <c r="P284" i="1"/>
  <c r="V284" i="1" s="1"/>
  <c r="X284" i="1"/>
  <c r="N285" i="1"/>
  <c r="U285" i="1" s="1"/>
  <c r="P285" i="1"/>
  <c r="V285" i="1" s="1"/>
  <c r="P286" i="1"/>
  <c r="V286" i="1" s="1"/>
  <c r="R286" i="1"/>
  <c r="W286" i="1" s="1"/>
  <c r="N287" i="1"/>
  <c r="U287" i="1" s="1"/>
  <c r="P287" i="1"/>
  <c r="V287" i="1" s="1"/>
  <c r="T287" i="1"/>
  <c r="X287" i="1" s="1"/>
  <c r="P288" i="1"/>
  <c r="V288" i="1" s="1"/>
  <c r="R288" i="1"/>
  <c r="W288" i="1" s="1"/>
  <c r="T288" i="1"/>
  <c r="X288" i="1" s="1"/>
  <c r="P289" i="1"/>
  <c r="V289" i="1" s="1"/>
  <c r="R289" i="1"/>
  <c r="W289" i="1" s="1"/>
  <c r="T289" i="1"/>
  <c r="X289" i="1" s="1"/>
  <c r="P290" i="1"/>
  <c r="V290" i="1" s="1"/>
  <c r="R290" i="1"/>
  <c r="W290" i="1" s="1"/>
  <c r="X290" i="1"/>
  <c r="P291" i="1"/>
  <c r="V291" i="1" s="1"/>
  <c r="R291" i="1"/>
  <c r="W291" i="1" s="1"/>
  <c r="T291" i="1"/>
  <c r="X291" i="1" s="1"/>
  <c r="P292" i="1"/>
  <c r="V292" i="1" s="1"/>
  <c r="R292" i="1"/>
  <c r="W292" i="1" s="1"/>
  <c r="T292" i="1"/>
  <c r="X292" i="1" s="1"/>
  <c r="P293" i="1"/>
  <c r="V293" i="1" s="1"/>
  <c r="R293" i="1"/>
  <c r="W293" i="1" s="1"/>
  <c r="T293" i="1"/>
  <c r="X293" i="1" s="1"/>
  <c r="P294" i="1"/>
  <c r="V294" i="1" s="1"/>
  <c r="T294" i="1"/>
  <c r="X294" i="1" s="1"/>
  <c r="R295" i="1"/>
  <c r="W295" i="1" s="1"/>
  <c r="T295" i="1"/>
  <c r="X295" i="1" s="1"/>
  <c r="P296" i="1"/>
  <c r="V296" i="1" s="1"/>
  <c r="W296" i="1"/>
  <c r="P262" i="1"/>
  <c r="V262" i="1" s="1"/>
  <c r="T262" i="1"/>
  <c r="X262" i="1" s="1"/>
  <c r="P261" i="1"/>
  <c r="V261" i="1" s="1"/>
  <c r="T261" i="1"/>
  <c r="X261" i="1" s="1"/>
  <c r="P307" i="1"/>
  <c r="V307" i="1" s="1"/>
  <c r="T307" i="1"/>
  <c r="X307" i="1" s="1"/>
  <c r="P306" i="1"/>
  <c r="V306" i="1" s="1"/>
  <c r="T306" i="1"/>
  <c r="X306" i="1" s="1"/>
  <c r="P305" i="1"/>
  <c r="V305" i="1" s="1"/>
  <c r="T305" i="1"/>
  <c r="X305" i="1" s="1"/>
  <c r="P315" i="1"/>
  <c r="V315" i="1" s="1"/>
  <c r="T315" i="1"/>
  <c r="X315" i="1" s="1"/>
  <c r="N309" i="1"/>
  <c r="U309" i="1" s="1"/>
  <c r="T309" i="1"/>
  <c r="X309" i="1" s="1"/>
  <c r="P313" i="1"/>
  <c r="V313" i="1" s="1"/>
  <c r="T313" i="1"/>
  <c r="X313" i="1" s="1"/>
  <c r="P314" i="1"/>
  <c r="V314" i="1" s="1"/>
  <c r="R314" i="1"/>
  <c r="W314" i="1" s="1"/>
  <c r="P310" i="1"/>
  <c r="V310" i="1" s="1"/>
  <c r="R310" i="1"/>
  <c r="W310" i="1" s="1"/>
  <c r="P311" i="1"/>
  <c r="V311" i="1" s="1"/>
  <c r="T311" i="1"/>
  <c r="X311" i="1" s="1"/>
  <c r="P312" i="1"/>
  <c r="V312" i="1" s="1"/>
  <c r="R312" i="1"/>
  <c r="W312" i="1" s="1"/>
  <c r="P316" i="1"/>
  <c r="V316" i="1" s="1"/>
  <c r="T316" i="1"/>
  <c r="X316" i="1" s="1"/>
  <c r="N317" i="1"/>
  <c r="U317" i="1" s="1"/>
  <c r="P317" i="1"/>
  <c r="V317" i="1" s="1"/>
  <c r="R317" i="1"/>
  <c r="W317" i="1" s="1"/>
  <c r="N318" i="1"/>
  <c r="U318" i="1" s="1"/>
  <c r="P318" i="1"/>
  <c r="V318" i="1" s="1"/>
  <c r="R318" i="1"/>
  <c r="W318" i="1" s="1"/>
  <c r="P319" i="1"/>
  <c r="V319" i="1" s="1"/>
  <c r="R319" i="1"/>
  <c r="W319" i="1" s="1"/>
  <c r="P320" i="1"/>
  <c r="V320" i="1" s="1"/>
  <c r="T320" i="1"/>
  <c r="X320" i="1" s="1"/>
  <c r="N321" i="1"/>
  <c r="U321" i="1" s="1"/>
  <c r="P321" i="1"/>
  <c r="V321" i="1" s="1"/>
  <c r="P322" i="1"/>
  <c r="V322" i="1" s="1"/>
  <c r="T322" i="1"/>
  <c r="X322" i="1" s="1"/>
  <c r="P323" i="1"/>
  <c r="V323" i="1" s="1"/>
  <c r="T323" i="1"/>
  <c r="X323" i="1" s="1"/>
  <c r="P324" i="1"/>
  <c r="V324" i="1" s="1"/>
  <c r="T324" i="1"/>
  <c r="X324" i="1" s="1"/>
  <c r="N325" i="1"/>
  <c r="U325" i="1" s="1"/>
  <c r="P325" i="1"/>
  <c r="V325" i="1" s="1"/>
  <c r="R325" i="1"/>
  <c r="W325" i="1" s="1"/>
  <c r="N343" i="1"/>
  <c r="U343" i="1" s="1"/>
  <c r="P343" i="1"/>
  <c r="V343" i="1" s="1"/>
  <c r="R343" i="1"/>
  <c r="W343" i="1" s="1"/>
  <c r="P326" i="1"/>
  <c r="V326" i="1" s="1"/>
  <c r="R326" i="1"/>
  <c r="W326" i="1" s="1"/>
  <c r="T326" i="1"/>
  <c r="X326" i="1" s="1"/>
  <c r="N327" i="1"/>
  <c r="U327" i="1" s="1"/>
  <c r="P327" i="1"/>
  <c r="V327" i="1" s="1"/>
  <c r="N328" i="1"/>
  <c r="U328" i="1" s="1"/>
  <c r="P328" i="1"/>
  <c r="V328" i="1" s="1"/>
  <c r="R328" i="1"/>
  <c r="W328" i="1" s="1"/>
  <c r="R329" i="1"/>
  <c r="W329" i="1" s="1"/>
  <c r="T329" i="1"/>
  <c r="X329" i="1" s="1"/>
  <c r="P330" i="1"/>
  <c r="V330" i="1" s="1"/>
  <c r="Y330" i="1" s="1"/>
  <c r="R331" i="1"/>
  <c r="W331" i="1" s="1"/>
  <c r="T331" i="1"/>
  <c r="X331" i="1" s="1"/>
  <c r="N332" i="1"/>
  <c r="U332" i="1" s="1"/>
  <c r="P332" i="1"/>
  <c r="V332" i="1" s="1"/>
  <c r="T332" i="1"/>
  <c r="X332" i="1" s="1"/>
  <c r="R333" i="1"/>
  <c r="W333" i="1" s="1"/>
  <c r="T333" i="1"/>
  <c r="X333" i="1" s="1"/>
  <c r="N334" i="1"/>
  <c r="U334" i="1" s="1"/>
  <c r="R334" i="1"/>
  <c r="W334" i="1" s="1"/>
  <c r="T334" i="1"/>
  <c r="X334" i="1" s="1"/>
  <c r="P335" i="1"/>
  <c r="V335" i="1" s="1"/>
  <c r="T335" i="1"/>
  <c r="X335" i="1" s="1"/>
  <c r="P336" i="1"/>
  <c r="V336" i="1" s="1"/>
  <c r="T336" i="1"/>
  <c r="X336" i="1" s="1"/>
  <c r="P337" i="1"/>
  <c r="V337" i="1" s="1"/>
  <c r="T337" i="1"/>
  <c r="X337" i="1" s="1"/>
  <c r="N338" i="1"/>
  <c r="U338" i="1" s="1"/>
  <c r="P338" i="1"/>
  <c r="V338" i="1" s="1"/>
  <c r="R338" i="1"/>
  <c r="W338" i="1" s="1"/>
  <c r="N339" i="1"/>
  <c r="U339" i="1" s="1"/>
  <c r="T339" i="1"/>
  <c r="X339" i="1" s="1"/>
  <c r="P340" i="1"/>
  <c r="V340" i="1" s="1"/>
  <c r="R340" i="1"/>
  <c r="W340" i="1" s="1"/>
  <c r="P344" i="1"/>
  <c r="V344" i="1" s="1"/>
  <c r="R344" i="1"/>
  <c r="W344" i="1" s="1"/>
  <c r="T344" i="1"/>
  <c r="X344" i="1" s="1"/>
  <c r="P345" i="1"/>
  <c r="V345" i="1" s="1"/>
  <c r="R345" i="1"/>
  <c r="W345" i="1" s="1"/>
  <c r="P341" i="1"/>
  <c r="V341" i="1" s="1"/>
  <c r="R341" i="1"/>
  <c r="W341" i="1" s="1"/>
  <c r="P346" i="1"/>
  <c r="V346" i="1" s="1"/>
  <c r="R346" i="1"/>
  <c r="W346" i="1" s="1"/>
  <c r="N347" i="1"/>
  <c r="U347" i="1" s="1"/>
  <c r="R347" i="1"/>
  <c r="W347" i="1" s="1"/>
  <c r="T347" i="1"/>
  <c r="X347" i="1" s="1"/>
  <c r="P342" i="1"/>
  <c r="V342" i="1" s="1"/>
  <c r="T342" i="1"/>
  <c r="X342" i="1" s="1"/>
  <c r="N348" i="1"/>
  <c r="U348" i="1" s="1"/>
  <c r="P348" i="1"/>
  <c r="V348" i="1" s="1"/>
  <c r="P349" i="1"/>
  <c r="V349" i="1" s="1"/>
  <c r="T349" i="1"/>
  <c r="X349" i="1" s="1"/>
  <c r="P350" i="1"/>
  <c r="V350" i="1" s="1"/>
  <c r="R350" i="1"/>
  <c r="W350" i="1" s="1"/>
  <c r="T382" i="1"/>
  <c r="X382" i="1" s="1"/>
  <c r="Y382" i="1" s="1"/>
  <c r="P383" i="1"/>
  <c r="V383" i="1" s="1"/>
  <c r="T383" i="1"/>
  <c r="X383" i="1" s="1"/>
  <c r="P384" i="1"/>
  <c r="V384" i="1" s="1"/>
  <c r="T384" i="1"/>
  <c r="X384" i="1" s="1"/>
  <c r="P385" i="1"/>
  <c r="V385" i="1" s="1"/>
  <c r="Y385" i="1" s="1"/>
  <c r="P386" i="1"/>
  <c r="V386" i="1" s="1"/>
  <c r="T386" i="1"/>
  <c r="X386" i="1" s="1"/>
  <c r="T387" i="1"/>
  <c r="X387" i="1" s="1"/>
  <c r="Y387" i="1" s="1"/>
  <c r="P388" i="1"/>
  <c r="V388" i="1" s="1"/>
  <c r="T388" i="1"/>
  <c r="X388" i="1" s="1"/>
  <c r="R389" i="1"/>
  <c r="W389" i="1" s="1"/>
  <c r="T389" i="1"/>
  <c r="X389" i="1" s="1"/>
  <c r="P390" i="1"/>
  <c r="V390" i="1" s="1"/>
  <c r="T390" i="1"/>
  <c r="X390" i="1" s="1"/>
  <c r="T391" i="1"/>
  <c r="X391" i="1" s="1"/>
  <c r="Y391" i="1" s="1"/>
  <c r="N392" i="1"/>
  <c r="U392" i="1" s="1"/>
  <c r="P392" i="1"/>
  <c r="V392" i="1" s="1"/>
  <c r="P393" i="1"/>
  <c r="V393" i="1" s="1"/>
  <c r="Y393" i="1" s="1"/>
  <c r="P374" i="1"/>
  <c r="V374" i="1" s="1"/>
  <c r="T374" i="1"/>
  <c r="X374" i="1" s="1"/>
  <c r="P375" i="1"/>
  <c r="V375" i="1" s="1"/>
  <c r="X375" i="1"/>
  <c r="N376" i="1"/>
  <c r="U376" i="1" s="1"/>
  <c r="P376" i="1"/>
  <c r="V376" i="1" s="1"/>
  <c r="R377" i="1"/>
  <c r="W377" i="1" s="1"/>
  <c r="T377" i="1"/>
  <c r="X377" i="1" s="1"/>
  <c r="R378" i="1"/>
  <c r="W378" i="1" s="1"/>
  <c r="Y378" i="1" s="1"/>
  <c r="P379" i="1"/>
  <c r="V379" i="1" s="1"/>
  <c r="T379" i="1"/>
  <c r="X379" i="1" s="1"/>
  <c r="N380" i="1"/>
  <c r="U380" i="1" s="1"/>
  <c r="P380" i="1"/>
  <c r="V380" i="1" s="1"/>
  <c r="P381" i="1"/>
  <c r="V381" i="1" s="1"/>
  <c r="R381" i="1"/>
  <c r="W381" i="1" s="1"/>
  <c r="T381" i="1"/>
  <c r="X381" i="1" s="1"/>
  <c r="P394" i="1"/>
  <c r="V394" i="1" s="1"/>
  <c r="Y394" i="1" s="1"/>
  <c r="P395" i="1"/>
  <c r="V395" i="1" s="1"/>
  <c r="T395" i="1"/>
  <c r="X395" i="1" s="1"/>
  <c r="P396" i="1"/>
  <c r="V396" i="1" s="1"/>
  <c r="T396" i="1"/>
  <c r="X396" i="1" s="1"/>
  <c r="P397" i="1"/>
  <c r="V397" i="1" s="1"/>
  <c r="R397" i="1"/>
  <c r="W397" i="1" s="1"/>
  <c r="T397" i="1"/>
  <c r="X397" i="1" s="1"/>
  <c r="P398" i="1"/>
  <c r="V398" i="1" s="1"/>
  <c r="R398" i="1"/>
  <c r="W398" i="1" s="1"/>
  <c r="T398" i="1"/>
  <c r="X398" i="1" s="1"/>
  <c r="P399" i="1"/>
  <c r="V399" i="1" s="1"/>
  <c r="R399" i="1"/>
  <c r="W399" i="1" s="1"/>
  <c r="T399" i="1"/>
  <c r="X399" i="1" s="1"/>
  <c r="P400" i="1"/>
  <c r="V400" i="1" s="1"/>
  <c r="R400" i="1"/>
  <c r="W400" i="1" s="1"/>
  <c r="T400" i="1"/>
  <c r="X400" i="1" s="1"/>
  <c r="P401" i="1"/>
  <c r="V401" i="1" s="1"/>
  <c r="R401" i="1"/>
  <c r="W401" i="1" s="1"/>
  <c r="T401" i="1"/>
  <c r="X401" i="1" s="1"/>
  <c r="P402" i="1"/>
  <c r="V402" i="1" s="1"/>
  <c r="R402" i="1"/>
  <c r="W402" i="1" s="1"/>
  <c r="T402" i="1"/>
  <c r="X402" i="1" s="1"/>
  <c r="P403" i="1"/>
  <c r="V403" i="1" s="1"/>
  <c r="T403" i="1"/>
  <c r="X403" i="1" s="1"/>
  <c r="P404" i="1"/>
  <c r="V404" i="1" s="1"/>
  <c r="R404" i="1"/>
  <c r="W404" i="1" s="1"/>
  <c r="T404" i="1"/>
  <c r="X404" i="1" s="1"/>
  <c r="P405" i="1"/>
  <c r="V405" i="1" s="1"/>
  <c r="R405" i="1"/>
  <c r="W405" i="1" s="1"/>
  <c r="P406" i="1"/>
  <c r="V406" i="1" s="1"/>
  <c r="T406" i="1"/>
  <c r="X406" i="1" s="1"/>
  <c r="P407" i="1"/>
  <c r="V407" i="1" s="1"/>
  <c r="R407" i="1"/>
  <c r="W407" i="1" s="1"/>
  <c r="T407" i="1"/>
  <c r="X407" i="1" s="1"/>
  <c r="T408" i="1"/>
  <c r="X408" i="1" s="1"/>
  <c r="Y408" i="1" s="1"/>
  <c r="P409" i="1"/>
  <c r="V409" i="1" s="1"/>
  <c r="R409" i="1"/>
  <c r="W409" i="1" s="1"/>
  <c r="P410" i="1"/>
  <c r="V410" i="1" s="1"/>
  <c r="R410" i="1"/>
  <c r="W410" i="1" s="1"/>
  <c r="T410" i="1"/>
  <c r="X410" i="1" s="1"/>
  <c r="P411" i="1"/>
  <c r="V411" i="1" s="1"/>
  <c r="T411" i="1"/>
  <c r="X411" i="1" s="1"/>
  <c r="P412" i="1"/>
  <c r="V412" i="1" s="1"/>
  <c r="R412" i="1"/>
  <c r="W412" i="1" s="1"/>
  <c r="P413" i="1"/>
  <c r="V413" i="1" s="1"/>
  <c r="R413" i="1"/>
  <c r="W413" i="1" s="1"/>
  <c r="P414" i="1"/>
  <c r="V414" i="1" s="1"/>
  <c r="R414" i="1"/>
  <c r="W414" i="1" s="1"/>
  <c r="T414" i="1"/>
  <c r="X414" i="1" s="1"/>
  <c r="N415" i="1"/>
  <c r="U415" i="1" s="1"/>
  <c r="P415" i="1"/>
  <c r="V415" i="1" s="1"/>
  <c r="T415" i="1"/>
  <c r="X415" i="1" s="1"/>
  <c r="P416" i="1"/>
  <c r="V416" i="1" s="1"/>
  <c r="R416" i="1"/>
  <c r="W416" i="1" s="1"/>
  <c r="P417" i="1"/>
  <c r="V417" i="1" s="1"/>
  <c r="T417" i="1"/>
  <c r="X417" i="1" s="1"/>
  <c r="P418" i="1"/>
  <c r="V418" i="1" s="1"/>
  <c r="Y418" i="1" s="1"/>
  <c r="P419" i="1"/>
  <c r="V419" i="1" s="1"/>
  <c r="T419" i="1"/>
  <c r="X419" i="1" s="1"/>
  <c r="P420" i="1"/>
  <c r="V420" i="1" s="1"/>
  <c r="R420" i="1"/>
  <c r="W420" i="1" s="1"/>
  <c r="P421" i="1"/>
  <c r="V421" i="1" s="1"/>
  <c r="T421" i="1"/>
  <c r="X421" i="1" s="1"/>
  <c r="P422" i="1"/>
  <c r="V422" i="1" s="1"/>
  <c r="T422" i="1"/>
  <c r="X422" i="1" s="1"/>
  <c r="P423" i="1"/>
  <c r="V423" i="1" s="1"/>
  <c r="Y423" i="1" s="1"/>
  <c r="P424" i="1"/>
  <c r="V424" i="1" s="1"/>
  <c r="Y424" i="1" s="1"/>
  <c r="P425" i="1"/>
  <c r="V425" i="1" s="1"/>
  <c r="R425" i="1"/>
  <c r="W425" i="1" s="1"/>
  <c r="T425" i="1"/>
  <c r="X425" i="1" s="1"/>
  <c r="P426" i="1"/>
  <c r="V426" i="1" s="1"/>
  <c r="R426" i="1"/>
  <c r="W426" i="1" s="1"/>
  <c r="T426" i="1"/>
  <c r="X426" i="1" s="1"/>
  <c r="P427" i="1"/>
  <c r="V427" i="1" s="1"/>
  <c r="Y427" i="1" s="1"/>
  <c r="P428" i="1"/>
  <c r="V428" i="1" s="1"/>
  <c r="R428" i="1"/>
  <c r="W428" i="1" s="1"/>
  <c r="T428" i="1"/>
  <c r="X428" i="1" s="1"/>
  <c r="P429" i="1"/>
  <c r="V429" i="1" s="1"/>
  <c r="R429" i="1"/>
  <c r="W429" i="1" s="1"/>
  <c r="P430" i="1"/>
  <c r="V430" i="1" s="1"/>
  <c r="R430" i="1"/>
  <c r="W430" i="1" s="1"/>
  <c r="P431" i="1"/>
  <c r="V431" i="1" s="1"/>
  <c r="R431" i="1"/>
  <c r="W431" i="1" s="1"/>
  <c r="T431" i="1"/>
  <c r="X431" i="1" s="1"/>
  <c r="P432" i="1"/>
  <c r="V432" i="1" s="1"/>
  <c r="R432" i="1"/>
  <c r="W432" i="1" s="1"/>
  <c r="T432" i="1"/>
  <c r="X432" i="1" s="1"/>
  <c r="P433" i="1"/>
  <c r="V433" i="1" s="1"/>
  <c r="R433" i="1"/>
  <c r="W433" i="1" s="1"/>
  <c r="P434" i="1"/>
  <c r="V434" i="1" s="1"/>
  <c r="R434" i="1"/>
  <c r="W434" i="1" s="1"/>
  <c r="P435" i="1"/>
  <c r="V435" i="1" s="1"/>
  <c r="Y435" i="1" s="1"/>
  <c r="P436" i="1"/>
  <c r="V436" i="1" s="1"/>
  <c r="R436" i="1"/>
  <c r="W436" i="1" s="1"/>
  <c r="T436" i="1"/>
  <c r="X436" i="1" s="1"/>
  <c r="P437" i="1"/>
  <c r="V437" i="1" s="1"/>
  <c r="R437" i="1"/>
  <c r="W437" i="1" s="1"/>
  <c r="T437" i="1"/>
  <c r="X437" i="1" s="1"/>
  <c r="P438" i="1"/>
  <c r="V438" i="1" s="1"/>
  <c r="R438" i="1"/>
  <c r="W438" i="1" s="1"/>
  <c r="T438" i="1"/>
  <c r="X438" i="1" s="1"/>
  <c r="P439" i="1"/>
  <c r="V439" i="1" s="1"/>
  <c r="T439" i="1"/>
  <c r="X439" i="1" s="1"/>
  <c r="P440" i="1"/>
  <c r="V440" i="1" s="1"/>
  <c r="T440" i="1"/>
  <c r="X440" i="1" s="1"/>
  <c r="P441" i="1"/>
  <c r="V441" i="1" s="1"/>
  <c r="R441" i="1"/>
  <c r="W441" i="1" s="1"/>
  <c r="T441" i="1"/>
  <c r="X441" i="1" s="1"/>
  <c r="P442" i="1"/>
  <c r="V442" i="1" s="1"/>
  <c r="T442" i="1"/>
  <c r="X442" i="1" s="1"/>
  <c r="P443" i="1"/>
  <c r="V443" i="1" s="1"/>
  <c r="T443" i="1"/>
  <c r="X443" i="1" s="1"/>
  <c r="P444" i="1"/>
  <c r="V444" i="1" s="1"/>
  <c r="R444" i="1"/>
  <c r="W444" i="1" s="1"/>
  <c r="P445" i="1"/>
  <c r="V445" i="1" s="1"/>
  <c r="T445" i="1"/>
  <c r="X445" i="1" s="1"/>
  <c r="P446" i="1"/>
  <c r="V446" i="1" s="1"/>
  <c r="T446" i="1"/>
  <c r="X446" i="1" s="1"/>
  <c r="P447" i="1"/>
  <c r="V447" i="1" s="1"/>
  <c r="Y447" i="1" s="1"/>
  <c r="P448" i="1"/>
  <c r="V448" i="1" s="1"/>
  <c r="T448" i="1"/>
  <c r="X448" i="1" s="1"/>
  <c r="P449" i="1"/>
  <c r="V449" i="1" s="1"/>
  <c r="R449" i="1"/>
  <c r="W449" i="1" s="1"/>
  <c r="P450" i="1"/>
  <c r="V450" i="1" s="1"/>
  <c r="T450" i="1"/>
  <c r="X450" i="1" s="1"/>
  <c r="P451" i="1"/>
  <c r="V451" i="1" s="1"/>
  <c r="T451" i="1"/>
  <c r="X451" i="1" s="1"/>
  <c r="N452" i="1"/>
  <c r="U452" i="1" s="1"/>
  <c r="T452" i="1"/>
  <c r="X452" i="1" s="1"/>
  <c r="P457" i="1"/>
  <c r="V457" i="1" s="1"/>
  <c r="T457" i="1"/>
  <c r="X457" i="1" s="1"/>
  <c r="P453" i="1"/>
  <c r="V453" i="1" s="1"/>
  <c r="R453" i="1"/>
  <c r="W453" i="1" s="1"/>
  <c r="P454" i="1"/>
  <c r="V454" i="1" s="1"/>
  <c r="T454" i="1"/>
  <c r="X454" i="1" s="1"/>
  <c r="P455" i="1"/>
  <c r="V455" i="1" s="1"/>
  <c r="Y455" i="1" s="1"/>
  <c r="P456" i="1"/>
  <c r="V456" i="1" s="1"/>
  <c r="T456" i="1"/>
  <c r="X456" i="1" s="1"/>
  <c r="N458" i="1"/>
  <c r="U458" i="1" s="1"/>
  <c r="P458" i="1"/>
  <c r="V458" i="1" s="1"/>
  <c r="R458" i="1"/>
  <c r="W458" i="1" s="1"/>
  <c r="P459" i="1"/>
  <c r="V459" i="1" s="1"/>
  <c r="T459" i="1"/>
  <c r="X459" i="1" s="1"/>
  <c r="N501" i="1"/>
  <c r="U501" i="1" s="1"/>
  <c r="P501" i="1"/>
  <c r="V501" i="1" s="1"/>
  <c r="P460" i="1"/>
  <c r="V460" i="1" s="1"/>
  <c r="T460" i="1"/>
  <c r="X460" i="1" s="1"/>
  <c r="P461" i="1"/>
  <c r="V461" i="1" s="1"/>
  <c r="T461" i="1"/>
  <c r="X461" i="1" s="1"/>
  <c r="P462" i="1"/>
  <c r="V462" i="1" s="1"/>
  <c r="T462" i="1"/>
  <c r="X462" i="1" s="1"/>
  <c r="P463" i="1"/>
  <c r="V463" i="1" s="1"/>
  <c r="Y463" i="1" s="1"/>
  <c r="P464" i="1"/>
  <c r="V464" i="1" s="1"/>
  <c r="Y464" i="1" s="1"/>
  <c r="P465" i="1"/>
  <c r="V465" i="1" s="1"/>
  <c r="T465" i="1"/>
  <c r="X465" i="1" s="1"/>
  <c r="P466" i="1"/>
  <c r="V466" i="1" s="1"/>
  <c r="Y466" i="1" s="1"/>
  <c r="P467" i="1"/>
  <c r="V467" i="1" s="1"/>
  <c r="T467" i="1"/>
  <c r="X467" i="1" s="1"/>
  <c r="P468" i="1"/>
  <c r="V468" i="1" s="1"/>
  <c r="R468" i="1"/>
  <c r="W468" i="1" s="1"/>
  <c r="P502" i="1"/>
  <c r="V502" i="1" s="1"/>
  <c r="T502" i="1"/>
  <c r="X502" i="1" s="1"/>
  <c r="P469" i="1"/>
  <c r="V469" i="1" s="1"/>
  <c r="T469" i="1"/>
  <c r="X469" i="1" s="1"/>
  <c r="R503" i="1"/>
  <c r="W503" i="1" s="1"/>
  <c r="T503" i="1"/>
  <c r="X503" i="1" s="1"/>
  <c r="P470" i="1"/>
  <c r="V470" i="1" s="1"/>
  <c r="T470" i="1"/>
  <c r="X470" i="1" s="1"/>
  <c r="P471" i="1"/>
  <c r="V471" i="1" s="1"/>
  <c r="R471" i="1"/>
  <c r="W471" i="1" s="1"/>
  <c r="T471" i="1"/>
  <c r="X471" i="1" s="1"/>
  <c r="P472" i="1"/>
  <c r="V472" i="1" s="1"/>
  <c r="Y472" i="1" s="1"/>
  <c r="R473" i="1"/>
  <c r="W473" i="1" s="1"/>
  <c r="T473" i="1"/>
  <c r="X473" i="1" s="1"/>
  <c r="P474" i="1"/>
  <c r="V474" i="1" s="1"/>
  <c r="T474" i="1"/>
  <c r="X474" i="1" s="1"/>
  <c r="P475" i="1"/>
  <c r="V475" i="1" s="1"/>
  <c r="T475" i="1"/>
  <c r="X475" i="1" s="1"/>
  <c r="P476" i="1"/>
  <c r="V476" i="1" s="1"/>
  <c r="R476" i="1"/>
  <c r="W476" i="1" s="1"/>
  <c r="T476" i="1"/>
  <c r="X476" i="1" s="1"/>
  <c r="P477" i="1"/>
  <c r="V477" i="1" s="1"/>
  <c r="T477" i="1"/>
  <c r="X477" i="1" s="1"/>
  <c r="P478" i="1"/>
  <c r="V478" i="1" s="1"/>
  <c r="T478" i="1"/>
  <c r="X478" i="1" s="1"/>
  <c r="P479" i="1"/>
  <c r="V479" i="1" s="1"/>
  <c r="T479" i="1"/>
  <c r="X479" i="1" s="1"/>
  <c r="T480" i="1"/>
  <c r="X480" i="1" s="1"/>
  <c r="Y480" i="1" s="1"/>
  <c r="N481" i="1"/>
  <c r="U481" i="1" s="1"/>
  <c r="R481" i="1"/>
  <c r="W481" i="1" s="1"/>
  <c r="T481" i="1"/>
  <c r="X481" i="1" s="1"/>
  <c r="P482" i="1"/>
  <c r="V482" i="1" s="1"/>
  <c r="T482" i="1"/>
  <c r="X482" i="1" s="1"/>
  <c r="P483" i="1"/>
  <c r="V483" i="1" s="1"/>
  <c r="T483" i="1"/>
  <c r="X483" i="1" s="1"/>
  <c r="P484" i="1"/>
  <c r="V484" i="1" s="1"/>
  <c r="T484" i="1"/>
  <c r="X484" i="1" s="1"/>
  <c r="P485" i="1"/>
  <c r="V485" i="1" s="1"/>
  <c r="T485" i="1"/>
  <c r="X485" i="1" s="1"/>
  <c r="P486" i="1"/>
  <c r="V486" i="1" s="1"/>
  <c r="T486" i="1"/>
  <c r="X486" i="1" s="1"/>
  <c r="P487" i="1"/>
  <c r="V487" i="1" s="1"/>
  <c r="T487" i="1"/>
  <c r="X487" i="1" s="1"/>
  <c r="R488" i="1"/>
  <c r="W488" i="1" s="1"/>
  <c r="T488" i="1"/>
  <c r="X488" i="1" s="1"/>
  <c r="P489" i="1"/>
  <c r="V489" i="1" s="1"/>
  <c r="T489" i="1"/>
  <c r="X489" i="1" s="1"/>
  <c r="P504" i="1"/>
  <c r="V504" i="1" s="1"/>
  <c r="R504" i="1"/>
  <c r="W504" i="1" s="1"/>
  <c r="P490" i="1"/>
  <c r="V490" i="1" s="1"/>
  <c r="R490" i="1"/>
  <c r="W490" i="1" s="1"/>
  <c r="T490" i="1"/>
  <c r="X490" i="1" s="1"/>
  <c r="P491" i="1"/>
  <c r="V491" i="1" s="1"/>
  <c r="Y491" i="1" s="1"/>
  <c r="P492" i="1"/>
  <c r="V492" i="1" s="1"/>
  <c r="T492" i="1"/>
  <c r="X492" i="1" s="1"/>
  <c r="P493" i="1"/>
  <c r="V493" i="1" s="1"/>
  <c r="T493" i="1"/>
  <c r="X493" i="1" s="1"/>
  <c r="P494" i="1"/>
  <c r="V494" i="1" s="1"/>
  <c r="T494" i="1"/>
  <c r="X494" i="1" s="1"/>
  <c r="P495" i="1"/>
  <c r="V495" i="1" s="1"/>
  <c r="T495" i="1"/>
  <c r="X495" i="1" s="1"/>
  <c r="P496" i="1"/>
  <c r="V496" i="1" s="1"/>
  <c r="T496" i="1"/>
  <c r="X496" i="1" s="1"/>
  <c r="P497" i="1"/>
  <c r="V497" i="1" s="1"/>
  <c r="R497" i="1"/>
  <c r="W497" i="1" s="1"/>
  <c r="T497" i="1"/>
  <c r="X497" i="1" s="1"/>
  <c r="P498" i="1"/>
  <c r="V498" i="1" s="1"/>
  <c r="R498" i="1"/>
  <c r="W498" i="1" s="1"/>
  <c r="T498" i="1"/>
  <c r="X498" i="1" s="1"/>
  <c r="P499" i="1"/>
  <c r="V499" i="1" s="1"/>
  <c r="R499" i="1"/>
  <c r="W499" i="1" s="1"/>
  <c r="T499" i="1"/>
  <c r="X499" i="1" s="1"/>
  <c r="P500" i="1"/>
  <c r="V500" i="1" s="1"/>
  <c r="Y500" i="1" s="1"/>
  <c r="N517" i="1"/>
  <c r="U517" i="1" s="1"/>
  <c r="P517" i="1"/>
  <c r="V517" i="1" s="1"/>
  <c r="T517" i="1"/>
  <c r="X517" i="1" s="1"/>
  <c r="P518" i="1"/>
  <c r="V518" i="1" s="1"/>
  <c r="Y518" i="1" s="1"/>
  <c r="R519" i="1"/>
  <c r="W519" i="1" s="1"/>
  <c r="T519" i="1"/>
  <c r="X519" i="1" s="1"/>
  <c r="P520" i="1"/>
  <c r="V520" i="1" s="1"/>
  <c r="T520" i="1"/>
  <c r="X520" i="1" s="1"/>
  <c r="R521" i="1"/>
  <c r="W521" i="1" s="1"/>
  <c r="T521" i="1"/>
  <c r="X521" i="1" s="1"/>
  <c r="P522" i="1"/>
  <c r="V522" i="1" s="1"/>
  <c r="T522" i="1"/>
  <c r="X522" i="1" s="1"/>
  <c r="P523" i="1"/>
  <c r="V523" i="1" s="1"/>
  <c r="T523" i="1"/>
  <c r="X523" i="1" s="1"/>
  <c r="N524" i="1"/>
  <c r="U524" i="1" s="1"/>
  <c r="P524" i="1"/>
  <c r="V524" i="1" s="1"/>
  <c r="R524" i="1"/>
  <c r="W524" i="1" s="1"/>
  <c r="T524" i="1"/>
  <c r="X524" i="1" s="1"/>
  <c r="P525" i="1"/>
  <c r="V525" i="1" s="1"/>
  <c r="T525" i="1"/>
  <c r="X525" i="1" s="1"/>
  <c r="N526" i="1"/>
  <c r="U526" i="1" s="1"/>
  <c r="Y526" i="1" s="1"/>
  <c r="R527" i="1"/>
  <c r="W527" i="1" s="1"/>
  <c r="T527" i="1"/>
  <c r="X527" i="1" s="1"/>
  <c r="R528" i="1"/>
  <c r="W528" i="1" s="1"/>
  <c r="T528" i="1"/>
  <c r="X528" i="1" s="1"/>
  <c r="N529" i="1"/>
  <c r="U529" i="1" s="1"/>
  <c r="P529" i="1"/>
  <c r="V529" i="1" s="1"/>
  <c r="T529" i="1"/>
  <c r="X529" i="1" s="1"/>
  <c r="P530" i="1"/>
  <c r="V530" i="1" s="1"/>
  <c r="Y530" i="1" s="1"/>
  <c r="P531" i="1"/>
  <c r="V531" i="1" s="1"/>
  <c r="Y531" i="1" s="1"/>
  <c r="P532" i="1"/>
  <c r="V532" i="1" s="1"/>
  <c r="Y532" i="1" s="1"/>
  <c r="R533" i="1"/>
  <c r="W533" i="1" s="1"/>
  <c r="Y533" i="1" s="1"/>
  <c r="P534" i="1"/>
  <c r="V534" i="1" s="1"/>
  <c r="Y534" i="1" s="1"/>
  <c r="P535" i="1"/>
  <c r="V535" i="1" s="1"/>
  <c r="R535" i="1"/>
  <c r="W535" i="1" s="1"/>
  <c r="N536" i="1"/>
  <c r="U536" i="1" s="1"/>
  <c r="P536" i="1"/>
  <c r="V536" i="1" s="1"/>
  <c r="R536" i="1"/>
  <c r="W536" i="1" s="1"/>
  <c r="R537" i="1"/>
  <c r="W537" i="1" s="1"/>
  <c r="T537" i="1"/>
  <c r="X537" i="1" s="1"/>
  <c r="N538" i="1"/>
  <c r="U538" i="1" s="1"/>
  <c r="P538" i="1"/>
  <c r="V538" i="1" s="1"/>
  <c r="R538" i="1"/>
  <c r="W538" i="1" s="1"/>
  <c r="T538" i="1"/>
  <c r="X538" i="1" s="1"/>
  <c r="N508" i="1"/>
  <c r="U508" i="1" s="1"/>
  <c r="R508" i="1"/>
  <c r="W508" i="1" s="1"/>
  <c r="T508" i="1"/>
  <c r="X508" i="1" s="1"/>
  <c r="N509" i="1"/>
  <c r="U509" i="1" s="1"/>
  <c r="P509" i="1"/>
  <c r="V509" i="1" s="1"/>
  <c r="R509" i="1"/>
  <c r="W509" i="1" s="1"/>
  <c r="T509" i="1"/>
  <c r="X509" i="1" s="1"/>
  <c r="N510" i="1"/>
  <c r="U510" i="1" s="1"/>
  <c r="T510" i="1"/>
  <c r="X510" i="1" s="1"/>
  <c r="R511" i="1"/>
  <c r="W511" i="1" s="1"/>
  <c r="T511" i="1"/>
  <c r="X511" i="1" s="1"/>
  <c r="P512" i="1"/>
  <c r="V512" i="1" s="1"/>
  <c r="T512" i="1"/>
  <c r="X512" i="1" s="1"/>
  <c r="N513" i="1"/>
  <c r="U513" i="1" s="1"/>
  <c r="P513" i="1"/>
  <c r="V513" i="1" s="1"/>
  <c r="T513" i="1"/>
  <c r="X513" i="1" s="1"/>
  <c r="P514" i="1"/>
  <c r="V514" i="1" s="1"/>
  <c r="T514" i="1"/>
  <c r="X514" i="1" s="1"/>
  <c r="T515" i="1"/>
  <c r="X515" i="1" s="1"/>
  <c r="Y515" i="1" s="1"/>
  <c r="N516" i="1"/>
  <c r="U516" i="1" s="1"/>
  <c r="P516" i="1"/>
  <c r="V516" i="1" s="1"/>
  <c r="R516" i="1"/>
  <c r="W516" i="1" s="1"/>
  <c r="P539" i="1"/>
  <c r="V539" i="1" s="1"/>
  <c r="T539" i="1"/>
  <c r="X539" i="1" s="1"/>
  <c r="N505" i="1"/>
  <c r="U505" i="1" s="1"/>
  <c r="P505" i="1"/>
  <c r="V505" i="1" s="1"/>
  <c r="T505" i="1"/>
  <c r="X505" i="1" s="1"/>
  <c r="R506" i="1"/>
  <c r="W506" i="1" s="1"/>
  <c r="T506" i="1"/>
  <c r="X506" i="1" s="1"/>
  <c r="N540" i="1"/>
  <c r="U540" i="1" s="1"/>
  <c r="P540" i="1"/>
  <c r="V540" i="1" s="1"/>
  <c r="R507" i="1"/>
  <c r="W507" i="1" s="1"/>
  <c r="T507" i="1"/>
  <c r="X507" i="1" s="1"/>
  <c r="P542" i="1"/>
  <c r="V542" i="1" s="1"/>
  <c r="Y542" i="1" s="1"/>
  <c r="N543" i="1"/>
  <c r="U543" i="1" s="1"/>
  <c r="T543" i="1"/>
  <c r="X543" i="1" s="1"/>
  <c r="P544" i="1"/>
  <c r="V544" i="1" s="1"/>
  <c r="R544" i="1"/>
  <c r="W544" i="1" s="1"/>
  <c r="T544" i="1"/>
  <c r="X544" i="1" s="1"/>
  <c r="P545" i="1"/>
  <c r="V545" i="1" s="1"/>
  <c r="T545" i="1"/>
  <c r="X545" i="1" s="1"/>
  <c r="P546" i="1"/>
  <c r="V546" i="1" s="1"/>
  <c r="R546" i="1"/>
  <c r="W546" i="1" s="1"/>
  <c r="P547" i="1"/>
  <c r="V547" i="1" s="1"/>
  <c r="Y547" i="1" s="1"/>
  <c r="P548" i="1"/>
  <c r="V548" i="1" s="1"/>
  <c r="T548" i="1"/>
  <c r="X548" i="1" s="1"/>
  <c r="P549" i="1"/>
  <c r="V549" i="1" s="1"/>
  <c r="R549" i="1"/>
  <c r="W549" i="1" s="1"/>
  <c r="T549" i="1"/>
  <c r="X549" i="1" s="1"/>
  <c r="P550" i="1"/>
  <c r="V550" i="1" s="1"/>
  <c r="Y550" i="1" s="1"/>
  <c r="V552" i="1"/>
  <c r="T552" i="1"/>
  <c r="X552" i="1" s="1"/>
  <c r="R553" i="1"/>
  <c r="W553" i="1" s="1"/>
  <c r="Y553" i="1" s="1"/>
  <c r="R554" i="1"/>
  <c r="W554" i="1" s="1"/>
  <c r="T554" i="1"/>
  <c r="X554" i="1" s="1"/>
  <c r="P556" i="1"/>
  <c r="V556" i="1" s="1"/>
  <c r="Y556" i="1" s="1"/>
  <c r="T557" i="1"/>
  <c r="X557" i="1" s="1"/>
  <c r="Y557" i="1" s="1"/>
  <c r="P558" i="1"/>
  <c r="V558" i="1" s="1"/>
  <c r="T558" i="1"/>
  <c r="X558" i="1" s="1"/>
  <c r="N559" i="1"/>
  <c r="U559" i="1" s="1"/>
  <c r="P559" i="1"/>
  <c r="V559" i="1" s="1"/>
  <c r="T559" i="1"/>
  <c r="X559" i="1" s="1"/>
  <c r="P551" i="1"/>
  <c r="V551" i="1" s="1"/>
  <c r="R551" i="1"/>
  <c r="W551" i="1" s="1"/>
  <c r="T551" i="1"/>
  <c r="X551" i="1" s="1"/>
  <c r="P555" i="1"/>
  <c r="V555" i="1" s="1"/>
  <c r="T555" i="1"/>
  <c r="X555" i="1" s="1"/>
  <c r="P578" i="1"/>
  <c r="V578" i="1" s="1"/>
  <c r="T578" i="1"/>
  <c r="X578" i="1" s="1"/>
  <c r="P579" i="1"/>
  <c r="V579" i="1" s="1"/>
  <c r="T579" i="1"/>
  <c r="X579" i="1" s="1"/>
  <c r="P580" i="1"/>
  <c r="V580" i="1" s="1"/>
  <c r="T580" i="1"/>
  <c r="X580" i="1" s="1"/>
  <c r="P570" i="1"/>
  <c r="V570" i="1" s="1"/>
  <c r="T570" i="1"/>
  <c r="X570" i="1" s="1"/>
  <c r="P571" i="1"/>
  <c r="V571" i="1" s="1"/>
  <c r="T571" i="1"/>
  <c r="X571" i="1" s="1"/>
  <c r="N572" i="1"/>
  <c r="U572" i="1" s="1"/>
  <c r="P572" i="1"/>
  <c r="V572" i="1" s="1"/>
  <c r="T573" i="1"/>
  <c r="X573" i="1" s="1"/>
  <c r="Y573" i="1" s="1"/>
  <c r="P574" i="1"/>
  <c r="V574" i="1" s="1"/>
  <c r="T574" i="1"/>
  <c r="X574" i="1" s="1"/>
  <c r="P575" i="1"/>
  <c r="V575" i="1" s="1"/>
  <c r="Y575" i="1" s="1"/>
  <c r="P576" i="1"/>
  <c r="V576" i="1" s="1"/>
  <c r="T576" i="1"/>
  <c r="X576" i="1" s="1"/>
  <c r="P569" i="1"/>
  <c r="V569" i="1" s="1"/>
  <c r="T569" i="1"/>
  <c r="X569" i="1" s="1"/>
  <c r="P577" i="1"/>
  <c r="V577" i="1" s="1"/>
  <c r="T577" i="1"/>
  <c r="X577" i="1" s="1"/>
  <c r="P568" i="1"/>
  <c r="V568" i="1" s="1"/>
  <c r="T568" i="1"/>
  <c r="X568" i="1" s="1"/>
  <c r="P566" i="1"/>
  <c r="V566" i="1" s="1"/>
  <c r="Y566" i="1" s="1"/>
  <c r="P567" i="1"/>
  <c r="V567" i="1" s="1"/>
  <c r="T567" i="1"/>
  <c r="X567" i="1" s="1"/>
  <c r="P565" i="1"/>
  <c r="V565" i="1" s="1"/>
  <c r="T565" i="1"/>
  <c r="X565" i="1" s="1"/>
  <c r="N581" i="1"/>
  <c r="U581" i="1" s="1"/>
  <c r="P581" i="1"/>
  <c r="V581" i="1" s="1"/>
  <c r="P582" i="1"/>
  <c r="V582" i="1" s="1"/>
  <c r="Y582" i="1" s="1"/>
  <c r="P583" i="1"/>
  <c r="V583" i="1" s="1"/>
  <c r="Y583" i="1" s="1"/>
  <c r="P584" i="1"/>
  <c r="V584" i="1" s="1"/>
  <c r="Y584" i="1" s="1"/>
  <c r="P585" i="1"/>
  <c r="V585" i="1" s="1"/>
  <c r="Y585" i="1" s="1"/>
  <c r="P586" i="1"/>
  <c r="V586" i="1" s="1"/>
  <c r="R586" i="1"/>
  <c r="W586" i="1" s="1"/>
  <c r="R587" i="1"/>
  <c r="W587" i="1" s="1"/>
  <c r="Y587" i="1" s="1"/>
  <c r="R588" i="1"/>
  <c r="W588" i="1" s="1"/>
  <c r="T588" i="1"/>
  <c r="X588" i="1" s="1"/>
  <c r="T589" i="1"/>
  <c r="X589" i="1" s="1"/>
  <c r="Y589" i="1" s="1"/>
  <c r="P590" i="1"/>
  <c r="V590" i="1" s="1"/>
  <c r="Y590" i="1" s="1"/>
  <c r="P591" i="1"/>
  <c r="V591" i="1" s="1"/>
  <c r="Y591" i="1" s="1"/>
  <c r="P592" i="1"/>
  <c r="V592" i="1" s="1"/>
  <c r="Y592" i="1" s="1"/>
  <c r="T593" i="1"/>
  <c r="X593" i="1" s="1"/>
  <c r="Y593" i="1" s="1"/>
  <c r="T594" i="1"/>
  <c r="X594" i="1" s="1"/>
  <c r="Y594" i="1" s="1"/>
  <c r="P607" i="1"/>
  <c r="V607" i="1" s="1"/>
  <c r="Y607" i="1" s="1"/>
  <c r="P608" i="1"/>
  <c r="V608" i="1" s="1"/>
  <c r="Y608" i="1" s="1"/>
  <c r="P595" i="1"/>
  <c r="V595" i="1" s="1"/>
  <c r="R595" i="1"/>
  <c r="W595" i="1" s="1"/>
  <c r="P596" i="1"/>
  <c r="V596" i="1" s="1"/>
  <c r="Y596" i="1" s="1"/>
  <c r="T597" i="1"/>
  <c r="X597" i="1" s="1"/>
  <c r="Y597" i="1" s="1"/>
  <c r="P598" i="1"/>
  <c r="V598" i="1" s="1"/>
  <c r="T598" i="1"/>
  <c r="X598" i="1" s="1"/>
  <c r="R599" i="1"/>
  <c r="W599" i="1" s="1"/>
  <c r="Y599" i="1" s="1"/>
  <c r="N600" i="1"/>
  <c r="U600" i="1" s="1"/>
  <c r="Y600" i="1" s="1"/>
  <c r="T601" i="1"/>
  <c r="X601" i="1" s="1"/>
  <c r="Y601" i="1" s="1"/>
  <c r="T602" i="1"/>
  <c r="X602" i="1" s="1"/>
  <c r="Y602" i="1" s="1"/>
  <c r="R603" i="1"/>
  <c r="W603" i="1" s="1"/>
  <c r="Y603" i="1" s="1"/>
  <c r="P604" i="1"/>
  <c r="V604" i="1" s="1"/>
  <c r="Y604" i="1" s="1"/>
  <c r="R605" i="1"/>
  <c r="W605" i="1" s="1"/>
  <c r="T605" i="1"/>
  <c r="X605" i="1" s="1"/>
  <c r="P606" i="1"/>
  <c r="V606" i="1" s="1"/>
  <c r="R606" i="1"/>
  <c r="W606" i="1" s="1"/>
  <c r="P609" i="1"/>
  <c r="V609" i="1" s="1"/>
  <c r="T609" i="1"/>
  <c r="X609" i="1" s="1"/>
  <c r="N616" i="1"/>
  <c r="U616" i="1" s="1"/>
  <c r="P616" i="1"/>
  <c r="V616" i="1" s="1"/>
  <c r="P612" i="1"/>
  <c r="V612" i="1" s="1"/>
  <c r="T612" i="1"/>
  <c r="X612" i="1" s="1"/>
  <c r="P613" i="1"/>
  <c r="V613" i="1" s="1"/>
  <c r="R613" i="1"/>
  <c r="W613" i="1" s="1"/>
  <c r="N614" i="1"/>
  <c r="U614" i="1" s="1"/>
  <c r="P614" i="1"/>
  <c r="V614" i="1" s="1"/>
  <c r="T614" i="1"/>
  <c r="X614" i="1" s="1"/>
  <c r="P615" i="1"/>
  <c r="V615" i="1" s="1"/>
  <c r="T615" i="1"/>
  <c r="X615" i="1" s="1"/>
  <c r="P622" i="1"/>
  <c r="V622" i="1" s="1"/>
  <c r="Y622" i="1" s="1"/>
  <c r="N610" i="1"/>
  <c r="U610" i="1" s="1"/>
  <c r="P610" i="1"/>
  <c r="V610" i="1" s="1"/>
  <c r="R610" i="1"/>
  <c r="W610" i="1" s="1"/>
  <c r="N611" i="1"/>
  <c r="U611" i="1" s="1"/>
  <c r="T611" i="1"/>
  <c r="X611" i="1" s="1"/>
  <c r="N617" i="1"/>
  <c r="U617" i="1" s="1"/>
  <c r="P617" i="1"/>
  <c r="V617" i="1" s="1"/>
  <c r="P618" i="1"/>
  <c r="V618" i="1" s="1"/>
  <c r="R618" i="1"/>
  <c r="W618" i="1" s="1"/>
  <c r="N619" i="1"/>
  <c r="U619" i="1" s="1"/>
  <c r="P619" i="1"/>
  <c r="V619" i="1" s="1"/>
  <c r="P620" i="1"/>
  <c r="V620" i="1" s="1"/>
  <c r="T620" i="1"/>
  <c r="X620" i="1" s="1"/>
  <c r="N621" i="1"/>
  <c r="U621" i="1" s="1"/>
  <c r="R621" i="1"/>
  <c r="W621" i="1" s="1"/>
  <c r="R623" i="1"/>
  <c r="W623" i="1" s="1"/>
  <c r="T623" i="1"/>
  <c r="X623" i="1" s="1"/>
  <c r="P624" i="1"/>
  <c r="V624" i="1" s="1"/>
  <c r="R624" i="1"/>
  <c r="W624" i="1" s="1"/>
  <c r="T624" i="1"/>
  <c r="X624" i="1" s="1"/>
  <c r="P625" i="1"/>
  <c r="V625" i="1" s="1"/>
  <c r="R625" i="1"/>
  <c r="W625" i="1" s="1"/>
  <c r="P626" i="1"/>
  <c r="V626" i="1" s="1"/>
  <c r="T626" i="1"/>
  <c r="X626" i="1" s="1"/>
  <c r="R627" i="1"/>
  <c r="W627" i="1" s="1"/>
  <c r="Y627" i="1" s="1"/>
  <c r="N628" i="1"/>
  <c r="U628" i="1" s="1"/>
  <c r="P628" i="1"/>
  <c r="V628" i="1" s="1"/>
  <c r="R628" i="1"/>
  <c r="W628" i="1" s="1"/>
  <c r="N629" i="1"/>
  <c r="U629" i="1" s="1"/>
  <c r="P629" i="1"/>
  <c r="V629" i="1" s="1"/>
  <c r="R629" i="1"/>
  <c r="W629" i="1" s="1"/>
  <c r="N630" i="1"/>
  <c r="U630" i="1" s="1"/>
  <c r="P630" i="1"/>
  <c r="V630" i="1" s="1"/>
  <c r="R630" i="1"/>
  <c r="W630" i="1" s="1"/>
  <c r="P632" i="1"/>
  <c r="V632" i="1" s="1"/>
  <c r="T632" i="1"/>
  <c r="X632" i="1" s="1"/>
  <c r="T635" i="1"/>
  <c r="X635" i="1" s="1"/>
  <c r="Y635" i="1" s="1"/>
  <c r="P633" i="1"/>
  <c r="V633" i="1" s="1"/>
  <c r="T633" i="1"/>
  <c r="X633" i="1" s="1"/>
  <c r="P634" i="1"/>
  <c r="V634" i="1" s="1"/>
  <c r="T634" i="1"/>
  <c r="X634" i="1" s="1"/>
  <c r="T631" i="1"/>
  <c r="X631" i="1" s="1"/>
  <c r="Y631" i="1" s="1"/>
  <c r="N636" i="1"/>
  <c r="U636" i="1" s="1"/>
  <c r="P636" i="1"/>
  <c r="V636" i="1" s="1"/>
  <c r="N637" i="1"/>
  <c r="U637" i="1" s="1"/>
  <c r="P637" i="1"/>
  <c r="V637" i="1" s="1"/>
  <c r="P641" i="1"/>
  <c r="V641" i="1" s="1"/>
  <c r="R641" i="1"/>
  <c r="W641" i="1" s="1"/>
  <c r="T641" i="1"/>
  <c r="X641" i="1" s="1"/>
  <c r="T642" i="1"/>
  <c r="X642" i="1" s="1"/>
  <c r="Y642" i="1" s="1"/>
  <c r="P638" i="1"/>
  <c r="V638" i="1" s="1"/>
  <c r="R638" i="1"/>
  <c r="W638" i="1" s="1"/>
  <c r="P639" i="1"/>
  <c r="V639" i="1" s="1"/>
  <c r="Y639" i="1" s="1"/>
  <c r="P640" i="1"/>
  <c r="V640" i="1" s="1"/>
  <c r="T640" i="1"/>
  <c r="X640" i="1" s="1"/>
  <c r="T643" i="1"/>
  <c r="X643" i="1" s="1"/>
  <c r="Y643" i="1" s="1"/>
  <c r="P644" i="1"/>
  <c r="V644" i="1" s="1"/>
  <c r="R644" i="1"/>
  <c r="W644" i="1" s="1"/>
  <c r="N667" i="1"/>
  <c r="U667" i="1" s="1"/>
  <c r="P667" i="1"/>
  <c r="V667" i="1" s="1"/>
  <c r="R667" i="1"/>
  <c r="W667" i="1" s="1"/>
  <c r="N645" i="1"/>
  <c r="U645" i="1" s="1"/>
  <c r="P645" i="1"/>
  <c r="V645" i="1" s="1"/>
  <c r="R645" i="1"/>
  <c r="W645" i="1" s="1"/>
  <c r="N646" i="1"/>
  <c r="U646" i="1" s="1"/>
  <c r="P646" i="1"/>
  <c r="V646" i="1" s="1"/>
  <c r="P647" i="1"/>
  <c r="V647" i="1" s="1"/>
  <c r="T647" i="1"/>
  <c r="X647" i="1" s="1"/>
  <c r="P648" i="1"/>
  <c r="V648" i="1" s="1"/>
  <c r="R648" i="1"/>
  <c r="W648" i="1" s="1"/>
  <c r="P649" i="1"/>
  <c r="V649" i="1" s="1"/>
  <c r="Y649" i="1" s="1"/>
  <c r="P650" i="1"/>
  <c r="V650" i="1" s="1"/>
  <c r="Y650" i="1" s="1"/>
  <c r="R651" i="1"/>
  <c r="W651" i="1" s="1"/>
  <c r="T651" i="1"/>
  <c r="X651" i="1" s="1"/>
  <c r="P652" i="1"/>
  <c r="V652" i="1" s="1"/>
  <c r="Y652" i="1" s="1"/>
  <c r="N653" i="1"/>
  <c r="U653" i="1" s="1"/>
  <c r="P653" i="1"/>
  <c r="V653" i="1" s="1"/>
  <c r="R653" i="1"/>
  <c r="W653" i="1" s="1"/>
  <c r="N654" i="1"/>
  <c r="U654" i="1" s="1"/>
  <c r="P654" i="1"/>
  <c r="V654" i="1" s="1"/>
  <c r="R654" i="1"/>
  <c r="W654" i="1" s="1"/>
  <c r="P655" i="1"/>
  <c r="V655" i="1" s="1"/>
  <c r="T655" i="1"/>
  <c r="X655" i="1" s="1"/>
  <c r="P656" i="1"/>
  <c r="V656" i="1" s="1"/>
  <c r="T656" i="1"/>
  <c r="X656" i="1" s="1"/>
  <c r="R657" i="1"/>
  <c r="W657" i="1" s="1"/>
  <c r="T657" i="1"/>
  <c r="X657" i="1" s="1"/>
  <c r="P658" i="1"/>
  <c r="V658" i="1" s="1"/>
  <c r="T658" i="1"/>
  <c r="X658" i="1" s="1"/>
  <c r="P659" i="1"/>
  <c r="V659" i="1" s="1"/>
  <c r="Y659" i="1" s="1"/>
  <c r="P660" i="1"/>
  <c r="V660" i="1" s="1"/>
  <c r="R660" i="1"/>
  <c r="W660" i="1" s="1"/>
  <c r="P661" i="1"/>
  <c r="V661" i="1" s="1"/>
  <c r="Y661" i="1" s="1"/>
  <c r="R662" i="1"/>
  <c r="W662" i="1" s="1"/>
  <c r="T662" i="1"/>
  <c r="X662" i="1" s="1"/>
  <c r="N668" i="1"/>
  <c r="U668" i="1" s="1"/>
  <c r="P668" i="1"/>
  <c r="V668" i="1" s="1"/>
  <c r="R668" i="1"/>
  <c r="W668" i="1" s="1"/>
  <c r="P663" i="1"/>
  <c r="V663" i="1" s="1"/>
  <c r="T663" i="1"/>
  <c r="X663" i="1" s="1"/>
  <c r="P664" i="1"/>
  <c r="V664" i="1" s="1"/>
  <c r="R664" i="1"/>
  <c r="W664" i="1" s="1"/>
  <c r="P665" i="1"/>
  <c r="V665" i="1" s="1"/>
  <c r="R665" i="1"/>
  <c r="W665" i="1" s="1"/>
  <c r="P666" i="1"/>
  <c r="V666" i="1" s="1"/>
  <c r="R666" i="1"/>
  <c r="W666" i="1" s="1"/>
  <c r="N669" i="1"/>
  <c r="U669" i="1" s="1"/>
  <c r="R669" i="1"/>
  <c r="W669" i="1" s="1"/>
  <c r="T669" i="1"/>
  <c r="X669" i="1" s="1"/>
  <c r="P670" i="1"/>
  <c r="V670" i="1" s="1"/>
  <c r="R670" i="1"/>
  <c r="W670" i="1" s="1"/>
  <c r="T670" i="1"/>
  <c r="X670" i="1" s="1"/>
  <c r="P674" i="1"/>
  <c r="V674" i="1" s="1"/>
  <c r="T674" i="1"/>
  <c r="X674" i="1" s="1"/>
  <c r="N675" i="1"/>
  <c r="U675" i="1" s="1"/>
  <c r="P675" i="1"/>
  <c r="V675" i="1" s="1"/>
  <c r="T675" i="1"/>
  <c r="X675" i="1" s="1"/>
  <c r="P676" i="1"/>
  <c r="V676" i="1" s="1"/>
  <c r="T676" i="1"/>
  <c r="X676" i="1" s="1"/>
  <c r="N677" i="1"/>
  <c r="U677" i="1" s="1"/>
  <c r="P677" i="1"/>
  <c r="V677" i="1" s="1"/>
  <c r="T677" i="1"/>
  <c r="X677" i="1" s="1"/>
  <c r="N678" i="1"/>
  <c r="U678" i="1" s="1"/>
  <c r="P678" i="1"/>
  <c r="V678" i="1" s="1"/>
  <c r="T678" i="1"/>
  <c r="X678" i="1" s="1"/>
  <c r="R679" i="1"/>
  <c r="W679" i="1" s="1"/>
  <c r="T679" i="1"/>
  <c r="X679" i="1" s="1"/>
  <c r="P692" i="1"/>
  <c r="V692" i="1" s="1"/>
  <c r="R692" i="1"/>
  <c r="W692" i="1" s="1"/>
  <c r="T692" i="1"/>
  <c r="X692" i="1" s="1"/>
  <c r="P680" i="1"/>
  <c r="V680" i="1" s="1"/>
  <c r="R680" i="1"/>
  <c r="W680" i="1" s="1"/>
  <c r="T680" i="1"/>
  <c r="X680" i="1" s="1"/>
  <c r="P681" i="1"/>
  <c r="V681" i="1" s="1"/>
  <c r="X681" i="1"/>
  <c r="P682" i="1"/>
  <c r="V682" i="1" s="1"/>
  <c r="T682" i="1"/>
  <c r="X682" i="1" s="1"/>
  <c r="P683" i="1"/>
  <c r="V683" i="1" s="1"/>
  <c r="T683" i="1"/>
  <c r="X683" i="1" s="1"/>
  <c r="P684" i="1"/>
  <c r="V684" i="1" s="1"/>
  <c r="R684" i="1"/>
  <c r="W684" i="1" s="1"/>
  <c r="T684" i="1"/>
  <c r="X684" i="1" s="1"/>
  <c r="P685" i="1"/>
  <c r="V685" i="1" s="1"/>
  <c r="T685" i="1"/>
  <c r="X685" i="1" s="1"/>
  <c r="P686" i="1"/>
  <c r="V686" i="1" s="1"/>
  <c r="T686" i="1"/>
  <c r="X686" i="1" s="1"/>
  <c r="N671" i="1"/>
  <c r="U671" i="1" s="1"/>
  <c r="P671" i="1"/>
  <c r="V671" i="1" s="1"/>
  <c r="P687" i="1"/>
  <c r="V687" i="1" s="1"/>
  <c r="R687" i="1"/>
  <c r="W687" i="1" s="1"/>
  <c r="P688" i="1"/>
  <c r="V688" i="1" s="1"/>
  <c r="R688" i="1"/>
  <c r="W688" i="1" s="1"/>
  <c r="T688" i="1"/>
  <c r="X688" i="1" s="1"/>
  <c r="N691" i="1"/>
  <c r="U691" i="1" s="1"/>
  <c r="P691" i="1"/>
  <c r="V691" i="1" s="1"/>
  <c r="R691" i="1"/>
  <c r="W691" i="1" s="1"/>
  <c r="N690" i="1"/>
  <c r="U690" i="1" s="1"/>
  <c r="P690" i="1"/>
  <c r="V690" i="1" s="1"/>
  <c r="R672" i="1"/>
  <c r="W672" i="1" s="1"/>
  <c r="T672" i="1"/>
  <c r="X672" i="1" s="1"/>
  <c r="R673" i="1"/>
  <c r="W673" i="1" s="1"/>
  <c r="X673" i="1"/>
  <c r="P689" i="1"/>
  <c r="V689" i="1" s="1"/>
  <c r="R689" i="1"/>
  <c r="W689" i="1" s="1"/>
  <c r="R708" i="1"/>
  <c r="W708" i="1" s="1"/>
  <c r="Y708" i="1" s="1"/>
  <c r="P707" i="1"/>
  <c r="V707" i="1" s="1"/>
  <c r="R707" i="1"/>
  <c r="W707" i="1" s="1"/>
  <c r="T693" i="1"/>
  <c r="X693" i="1" s="1"/>
  <c r="Y693" i="1" s="1"/>
  <c r="P694" i="1"/>
  <c r="V694" i="1" s="1"/>
  <c r="Y694" i="1" s="1"/>
  <c r="P695" i="1"/>
  <c r="V695" i="1" s="1"/>
  <c r="Y695" i="1" s="1"/>
  <c r="P696" i="1"/>
  <c r="V696" i="1" s="1"/>
  <c r="T696" i="1"/>
  <c r="X696" i="1" s="1"/>
  <c r="T705" i="1"/>
  <c r="X705" i="1" s="1"/>
  <c r="Y705" i="1" s="1"/>
  <c r="P697" i="1"/>
  <c r="V697" i="1" s="1"/>
  <c r="T697" i="1"/>
  <c r="X697" i="1" s="1"/>
  <c r="P698" i="1"/>
  <c r="V698" i="1" s="1"/>
  <c r="R698" i="1"/>
  <c r="W698" i="1" s="1"/>
  <c r="P699" i="1"/>
  <c r="V699" i="1" s="1"/>
  <c r="T699" i="1"/>
  <c r="X699" i="1" s="1"/>
  <c r="R700" i="1"/>
  <c r="W700" i="1" s="1"/>
  <c r="T700" i="1"/>
  <c r="X700" i="1" s="1"/>
  <c r="P701" i="1"/>
  <c r="V701" i="1" s="1"/>
  <c r="R701" i="1"/>
  <c r="W701" i="1" s="1"/>
  <c r="P702" i="1"/>
  <c r="V702" i="1" s="1"/>
  <c r="T702" i="1"/>
  <c r="X702" i="1" s="1"/>
  <c r="P703" i="1"/>
  <c r="V703" i="1" s="1"/>
  <c r="Y703" i="1" s="1"/>
  <c r="P704" i="1"/>
  <c r="V704" i="1" s="1"/>
  <c r="T704" i="1"/>
  <c r="X704" i="1" s="1"/>
  <c r="P706" i="1"/>
  <c r="V706" i="1" s="1"/>
  <c r="T706" i="1"/>
  <c r="X706" i="1" s="1"/>
  <c r="P709" i="1"/>
  <c r="V709" i="1" s="1"/>
  <c r="R709" i="1"/>
  <c r="W709" i="1" s="1"/>
  <c r="N710" i="1"/>
  <c r="U710" i="1" s="1"/>
  <c r="P710" i="1"/>
  <c r="V710" i="1" s="1"/>
  <c r="R710" i="1"/>
  <c r="W710" i="1" s="1"/>
  <c r="P807" i="1"/>
  <c r="V807" i="1" s="1"/>
  <c r="R807" i="1"/>
  <c r="W807" i="1" s="1"/>
  <c r="T807" i="1"/>
  <c r="X807" i="1" s="1"/>
  <c r="P808" i="1"/>
  <c r="V808" i="1" s="1"/>
  <c r="T808" i="1"/>
  <c r="X808" i="1" s="1"/>
  <c r="P809" i="1"/>
  <c r="V809" i="1" s="1"/>
  <c r="T809" i="1"/>
  <c r="X809" i="1" s="1"/>
  <c r="P736" i="1"/>
  <c r="V736" i="1" s="1"/>
  <c r="R736" i="1"/>
  <c r="W736" i="1" s="1"/>
  <c r="T736" i="1"/>
  <c r="X736" i="1" s="1"/>
  <c r="T714" i="1"/>
  <c r="X714" i="1" s="1"/>
  <c r="Y714" i="1" s="1"/>
  <c r="P715" i="1"/>
  <c r="V715" i="1" s="1"/>
  <c r="T715" i="1"/>
  <c r="X715" i="1" s="1"/>
  <c r="P716" i="1"/>
  <c r="V716" i="1" s="1"/>
  <c r="Y716" i="1" s="1"/>
  <c r="P717" i="1"/>
  <c r="V717" i="1" s="1"/>
  <c r="T717" i="1"/>
  <c r="X717" i="1" s="1"/>
  <c r="P718" i="1"/>
  <c r="V718" i="1" s="1"/>
  <c r="R718" i="1"/>
  <c r="W718" i="1" s="1"/>
  <c r="T718" i="1"/>
  <c r="X718" i="1" s="1"/>
  <c r="P719" i="1"/>
  <c r="V719" i="1" s="1"/>
  <c r="T719" i="1"/>
  <c r="X719" i="1" s="1"/>
  <c r="P720" i="1"/>
  <c r="V720" i="1" s="1"/>
  <c r="T720" i="1"/>
  <c r="X720" i="1" s="1"/>
  <c r="P721" i="1"/>
  <c r="V721" i="1" s="1"/>
  <c r="T721" i="1"/>
  <c r="X721" i="1" s="1"/>
  <c r="P722" i="1"/>
  <c r="V722" i="1" s="1"/>
  <c r="T722" i="1"/>
  <c r="X722" i="1" s="1"/>
  <c r="P723" i="1"/>
  <c r="V723" i="1" s="1"/>
  <c r="R723" i="1"/>
  <c r="W723" i="1" s="1"/>
  <c r="T723" i="1"/>
  <c r="X723" i="1" s="1"/>
  <c r="P724" i="1"/>
  <c r="V724" i="1" s="1"/>
  <c r="T724" i="1"/>
  <c r="X724" i="1" s="1"/>
  <c r="N713" i="1"/>
  <c r="U713" i="1" s="1"/>
  <c r="P713" i="1"/>
  <c r="V713" i="1" s="1"/>
  <c r="R713" i="1"/>
  <c r="W713" i="1" s="1"/>
  <c r="T711" i="1"/>
  <c r="X711" i="1" s="1"/>
  <c r="Y711" i="1" s="1"/>
  <c r="N761" i="1"/>
  <c r="U761" i="1" s="1"/>
  <c r="R761" i="1"/>
  <c r="W761" i="1" s="1"/>
  <c r="T761" i="1"/>
  <c r="X761" i="1" s="1"/>
  <c r="N785" i="1"/>
  <c r="U785" i="1" s="1"/>
  <c r="P785" i="1"/>
  <c r="V785" i="1" s="1"/>
  <c r="R785" i="1"/>
  <c r="W785" i="1" s="1"/>
  <c r="T786" i="1"/>
  <c r="X786" i="1" s="1"/>
  <c r="Y786" i="1" s="1"/>
  <c r="P804" i="1"/>
  <c r="V804" i="1" s="1"/>
  <c r="Y804" i="1" s="1"/>
  <c r="P762" i="1"/>
  <c r="V762" i="1" s="1"/>
  <c r="T762" i="1"/>
  <c r="X762" i="1" s="1"/>
  <c r="N763" i="1"/>
  <c r="U763" i="1" s="1"/>
  <c r="P763" i="1"/>
  <c r="V763" i="1" s="1"/>
  <c r="R763" i="1"/>
  <c r="W763" i="1" s="1"/>
  <c r="P764" i="1"/>
  <c r="V764" i="1" s="1"/>
  <c r="R764" i="1"/>
  <c r="W764" i="1" s="1"/>
  <c r="N765" i="1"/>
  <c r="U765" i="1" s="1"/>
  <c r="P765" i="1"/>
  <c r="V765" i="1" s="1"/>
  <c r="R765" i="1"/>
  <c r="W765" i="1" s="1"/>
  <c r="P766" i="1"/>
  <c r="V766" i="1" s="1"/>
  <c r="T766" i="1"/>
  <c r="X766" i="1" s="1"/>
  <c r="P805" i="1"/>
  <c r="V805" i="1" s="1"/>
  <c r="Y805" i="1" s="1"/>
  <c r="N806" i="1"/>
  <c r="U806" i="1" s="1"/>
  <c r="P806" i="1"/>
  <c r="V806" i="1" s="1"/>
  <c r="P787" i="1"/>
  <c r="V787" i="1" s="1"/>
  <c r="T787" i="1"/>
  <c r="X787" i="1" s="1"/>
  <c r="T788" i="1"/>
  <c r="X788" i="1" s="1"/>
  <c r="Y788" i="1" s="1"/>
  <c r="N789" i="1"/>
  <c r="U789" i="1" s="1"/>
  <c r="P789" i="1"/>
  <c r="V789" i="1" s="1"/>
  <c r="R789" i="1"/>
  <c r="W789" i="1" s="1"/>
  <c r="N800" i="1"/>
  <c r="U800" i="1" s="1"/>
  <c r="P800" i="1"/>
  <c r="V800" i="1" s="1"/>
  <c r="R800" i="1"/>
  <c r="W800" i="1" s="1"/>
  <c r="P734" i="1"/>
  <c r="V734" i="1" s="1"/>
  <c r="R734" i="1"/>
  <c r="W734" i="1" s="1"/>
  <c r="N817" i="1"/>
  <c r="U817" i="1" s="1"/>
  <c r="P817" i="1"/>
  <c r="V817" i="1" s="1"/>
  <c r="T817" i="1"/>
  <c r="X817" i="1" s="1"/>
  <c r="T818" i="1"/>
  <c r="X818" i="1" s="1"/>
  <c r="Y818" i="1" s="1"/>
  <c r="R819" i="1"/>
  <c r="W819" i="1" s="1"/>
  <c r="T819" i="1"/>
  <c r="X819" i="1" s="1"/>
  <c r="P820" i="1"/>
  <c r="V820" i="1" s="1"/>
  <c r="T820" i="1"/>
  <c r="X820" i="1" s="1"/>
  <c r="T821" i="1"/>
  <c r="X821" i="1" s="1"/>
  <c r="Y821" i="1" s="1"/>
  <c r="T822" i="1"/>
  <c r="X822" i="1" s="1"/>
  <c r="Y822" i="1" s="1"/>
  <c r="P823" i="1"/>
  <c r="V823" i="1" s="1"/>
  <c r="T823" i="1"/>
  <c r="X823" i="1" s="1"/>
  <c r="N824" i="1"/>
  <c r="U824" i="1" s="1"/>
  <c r="P824" i="1"/>
  <c r="V824" i="1" s="1"/>
  <c r="N825" i="1"/>
  <c r="U825" i="1" s="1"/>
  <c r="P825" i="1"/>
  <c r="V825" i="1" s="1"/>
  <c r="T825" i="1"/>
  <c r="X825" i="1" s="1"/>
  <c r="P826" i="1"/>
  <c r="V826" i="1" s="1"/>
  <c r="R826" i="1"/>
  <c r="W826" i="1" s="1"/>
  <c r="T826" i="1"/>
  <c r="X826" i="1" s="1"/>
  <c r="P827" i="1"/>
  <c r="V827" i="1" s="1"/>
  <c r="Y827" i="1" s="1"/>
  <c r="P828" i="1"/>
  <c r="V828" i="1" s="1"/>
  <c r="R828" i="1"/>
  <c r="W828" i="1" s="1"/>
  <c r="T828" i="1"/>
  <c r="X828" i="1" s="1"/>
  <c r="P829" i="1"/>
  <c r="V829" i="1" s="1"/>
  <c r="T829" i="1"/>
  <c r="X829" i="1" s="1"/>
  <c r="N830" i="1"/>
  <c r="U830" i="1" s="1"/>
  <c r="P830" i="1"/>
  <c r="V830" i="1" s="1"/>
  <c r="N831" i="1"/>
  <c r="U831" i="1" s="1"/>
  <c r="P831" i="1"/>
  <c r="V831" i="1" s="1"/>
  <c r="R831" i="1"/>
  <c r="W831" i="1" s="1"/>
  <c r="T831" i="1"/>
  <c r="X831" i="1" s="1"/>
  <c r="N925" i="1"/>
  <c r="U925" i="1" s="1"/>
  <c r="P925" i="1"/>
  <c r="V925" i="1" s="1"/>
  <c r="T925" i="1"/>
  <c r="X925" i="1" s="1"/>
  <c r="N832" i="1"/>
  <c r="U832" i="1" s="1"/>
  <c r="P832" i="1"/>
  <c r="V832" i="1" s="1"/>
  <c r="R832" i="1"/>
  <c r="W832" i="1" s="1"/>
  <c r="T832" i="1"/>
  <c r="X832" i="1" s="1"/>
  <c r="N833" i="1"/>
  <c r="U833" i="1" s="1"/>
  <c r="P833" i="1"/>
  <c r="V833" i="1" s="1"/>
  <c r="T833" i="1"/>
  <c r="X833" i="1" s="1"/>
  <c r="N834" i="1"/>
  <c r="U834" i="1" s="1"/>
  <c r="P834" i="1"/>
  <c r="V834" i="1" s="1"/>
  <c r="R834" i="1"/>
  <c r="W834" i="1" s="1"/>
  <c r="T834" i="1"/>
  <c r="X834" i="1" s="1"/>
  <c r="N926" i="1"/>
  <c r="U926" i="1" s="1"/>
  <c r="P926" i="1"/>
  <c r="V926" i="1" s="1"/>
  <c r="R926" i="1"/>
  <c r="W926" i="1" s="1"/>
  <c r="N927" i="1"/>
  <c r="U927" i="1" s="1"/>
  <c r="P927" i="1"/>
  <c r="V927" i="1" s="1"/>
  <c r="R927" i="1"/>
  <c r="W927" i="1" s="1"/>
  <c r="N835" i="1"/>
  <c r="U835" i="1" s="1"/>
  <c r="P835" i="1"/>
  <c r="V835" i="1" s="1"/>
  <c r="R835" i="1"/>
  <c r="W835" i="1" s="1"/>
  <c r="P928" i="1"/>
  <c r="V928" i="1" s="1"/>
  <c r="T928" i="1"/>
  <c r="X928" i="1" s="1"/>
  <c r="N836" i="1"/>
  <c r="U836" i="1" s="1"/>
  <c r="P836" i="1"/>
  <c r="V836" i="1" s="1"/>
  <c r="R836" i="1"/>
  <c r="W836" i="1" s="1"/>
  <c r="P929" i="1"/>
  <c r="V929" i="1" s="1"/>
  <c r="T929" i="1"/>
  <c r="X929" i="1" s="1"/>
  <c r="N811" i="1"/>
  <c r="U811" i="1" s="1"/>
  <c r="P811" i="1"/>
  <c r="V811" i="1" s="1"/>
  <c r="N922" i="1"/>
  <c r="U922" i="1" s="1"/>
  <c r="P922" i="1"/>
  <c r="V922" i="1" s="1"/>
  <c r="P840" i="1"/>
  <c r="V840" i="1" s="1"/>
  <c r="R840" i="1"/>
  <c r="W840" i="1" s="1"/>
  <c r="P947" i="1"/>
  <c r="V947" i="1" s="1"/>
  <c r="T947" i="1"/>
  <c r="X947" i="1" s="1"/>
  <c r="P812" i="1"/>
  <c r="V812" i="1" s="1"/>
  <c r="T812" i="1"/>
  <c r="X812" i="1" s="1"/>
  <c r="N816" i="1"/>
  <c r="U816" i="1" s="1"/>
  <c r="P816" i="1"/>
  <c r="V816" i="1" s="1"/>
  <c r="N813" i="1"/>
  <c r="U813" i="1" s="1"/>
  <c r="T813" i="1"/>
  <c r="X813" i="1" s="1"/>
  <c r="P814" i="1"/>
  <c r="V814" i="1" s="1"/>
  <c r="T814" i="1"/>
  <c r="X814" i="1" s="1"/>
  <c r="T815" i="1"/>
  <c r="X815" i="1" s="1"/>
  <c r="Y815" i="1" s="1"/>
  <c r="P841" i="1"/>
  <c r="V841" i="1" s="1"/>
  <c r="T841" i="1"/>
  <c r="X841" i="1" s="1"/>
  <c r="N837" i="1"/>
  <c r="U837" i="1" s="1"/>
  <c r="P837" i="1"/>
  <c r="V837" i="1" s="1"/>
  <c r="P923" i="1"/>
  <c r="V923" i="1" s="1"/>
  <c r="T923" i="1"/>
  <c r="X923" i="1" s="1"/>
  <c r="N924" i="1"/>
  <c r="U924" i="1" s="1"/>
  <c r="P924" i="1"/>
  <c r="V924" i="1" s="1"/>
  <c r="T838" i="1"/>
  <c r="X838" i="1" s="1"/>
  <c r="Y838" i="1" s="1"/>
  <c r="P945" i="1"/>
  <c r="V945" i="1" s="1"/>
  <c r="T945" i="1"/>
  <c r="X945" i="1" s="1"/>
  <c r="N921" i="1"/>
  <c r="U921" i="1" s="1"/>
  <c r="T921" i="1"/>
  <c r="X921" i="1" s="1"/>
  <c r="N839" i="1"/>
  <c r="U839" i="1" s="1"/>
  <c r="P839" i="1"/>
  <c r="V839" i="1" s="1"/>
  <c r="N908" i="1"/>
  <c r="U908" i="1" s="1"/>
  <c r="P908" i="1"/>
  <c r="V908" i="1" s="1"/>
  <c r="R908" i="1"/>
  <c r="W908" i="1" s="1"/>
  <c r="N909" i="1"/>
  <c r="U909" i="1" s="1"/>
  <c r="P909" i="1"/>
  <c r="V909" i="1" s="1"/>
  <c r="R909" i="1"/>
  <c r="W909" i="1" s="1"/>
  <c r="T909" i="1"/>
  <c r="X909" i="1" s="1"/>
  <c r="U912" i="1"/>
  <c r="V912" i="1"/>
  <c r="W912" i="1"/>
  <c r="X912" i="1"/>
  <c r="U913" i="1"/>
  <c r="V913" i="1"/>
  <c r="W913" i="1"/>
  <c r="X913" i="1"/>
  <c r="R914" i="1"/>
  <c r="W914" i="1" s="1"/>
  <c r="Y914" i="1" s="1"/>
  <c r="R915" i="1"/>
  <c r="W915" i="1" s="1"/>
  <c r="Y915" i="1" s="1"/>
  <c r="N910" i="1"/>
  <c r="U910" i="1" s="1"/>
  <c r="P910" i="1"/>
  <c r="V910" i="1" s="1"/>
  <c r="R910" i="1"/>
  <c r="W910" i="1" s="1"/>
  <c r="P907" i="1"/>
  <c r="V907" i="1" s="1"/>
  <c r="R907" i="1"/>
  <c r="W907" i="1" s="1"/>
  <c r="R916" i="1"/>
  <c r="W916" i="1" s="1"/>
  <c r="T916" i="1"/>
  <c r="X916" i="1" s="1"/>
  <c r="N917" i="1"/>
  <c r="U917" i="1" s="1"/>
  <c r="P917" i="1"/>
  <c r="V917" i="1" s="1"/>
  <c r="R917" i="1"/>
  <c r="W917" i="1" s="1"/>
  <c r="P918" i="1"/>
  <c r="V918" i="1" s="1"/>
  <c r="R918" i="1"/>
  <c r="W918" i="1" s="1"/>
  <c r="T918" i="1"/>
  <c r="X918" i="1" s="1"/>
  <c r="N919" i="1"/>
  <c r="U919" i="1" s="1"/>
  <c r="R919" i="1"/>
  <c r="W919" i="1" s="1"/>
  <c r="N911" i="1"/>
  <c r="U911" i="1" s="1"/>
  <c r="P911" i="1"/>
  <c r="V911" i="1" s="1"/>
  <c r="R911" i="1"/>
  <c r="W911" i="1" s="1"/>
  <c r="P920" i="1"/>
  <c r="V920" i="1" s="1"/>
  <c r="T920" i="1"/>
  <c r="X920" i="1" s="1"/>
  <c r="N872" i="1"/>
  <c r="U872" i="1" s="1"/>
  <c r="P872" i="1"/>
  <c r="V872" i="1" s="1"/>
  <c r="R872" i="1"/>
  <c r="W872" i="1" s="1"/>
  <c r="T872" i="1"/>
  <c r="X872" i="1" s="1"/>
  <c r="P873" i="1"/>
  <c r="V873" i="1" s="1"/>
  <c r="R873" i="1"/>
  <c r="W873" i="1" s="1"/>
  <c r="T873" i="1"/>
  <c r="X873" i="1" s="1"/>
  <c r="P874" i="1"/>
  <c r="V874" i="1" s="1"/>
  <c r="R874" i="1"/>
  <c r="W874" i="1" s="1"/>
  <c r="T874" i="1"/>
  <c r="X874" i="1" s="1"/>
  <c r="P875" i="1"/>
  <c r="V875" i="1" s="1"/>
  <c r="R875" i="1"/>
  <c r="W875" i="1" s="1"/>
  <c r="R851" i="1"/>
  <c r="W851" i="1" s="1"/>
  <c r="T851" i="1"/>
  <c r="X851" i="1" s="1"/>
  <c r="N852" i="1"/>
  <c r="U852" i="1" s="1"/>
  <c r="R852" i="1"/>
  <c r="W852" i="1" s="1"/>
  <c r="P853" i="1"/>
  <c r="V853" i="1" s="1"/>
  <c r="R853" i="1"/>
  <c r="W853" i="1" s="1"/>
  <c r="T853" i="1"/>
  <c r="X853" i="1" s="1"/>
  <c r="P854" i="1"/>
  <c r="V854" i="1" s="1"/>
  <c r="R854" i="1"/>
  <c r="W854" i="1" s="1"/>
  <c r="P855" i="1"/>
  <c r="V855" i="1" s="1"/>
  <c r="R855" i="1"/>
  <c r="W855" i="1" s="1"/>
  <c r="P856" i="1"/>
  <c r="V856" i="1" s="1"/>
  <c r="R856" i="1"/>
  <c r="W856" i="1" s="1"/>
  <c r="T856" i="1"/>
  <c r="X856" i="1" s="1"/>
  <c r="N857" i="1"/>
  <c r="U857" i="1" s="1"/>
  <c r="P857" i="1"/>
  <c r="V857" i="1" s="1"/>
  <c r="P858" i="1"/>
  <c r="V858" i="1" s="1"/>
  <c r="T858" i="1"/>
  <c r="X858" i="1" s="1"/>
  <c r="P859" i="1"/>
  <c r="V859" i="1" s="1"/>
  <c r="R859" i="1"/>
  <c r="W859" i="1" s="1"/>
  <c r="T859" i="1"/>
  <c r="X859" i="1" s="1"/>
  <c r="P860" i="1"/>
  <c r="V860" i="1" s="1"/>
  <c r="T860" i="1"/>
  <c r="X860" i="1" s="1"/>
  <c r="P861" i="1"/>
  <c r="V861" i="1" s="1"/>
  <c r="T861" i="1"/>
  <c r="X861" i="1" s="1"/>
  <c r="P862" i="1"/>
  <c r="V862" i="1" s="1"/>
  <c r="T862" i="1"/>
  <c r="X862" i="1" s="1"/>
  <c r="P863" i="1"/>
  <c r="V863" i="1" s="1"/>
  <c r="T863" i="1"/>
  <c r="X863" i="1" s="1"/>
  <c r="N849" i="1"/>
  <c r="U849" i="1" s="1"/>
  <c r="P849" i="1"/>
  <c r="V849" i="1" s="1"/>
  <c r="R849" i="1"/>
  <c r="W849" i="1" s="1"/>
  <c r="N850" i="1"/>
  <c r="U850" i="1" s="1"/>
  <c r="P850" i="1"/>
  <c r="V850" i="1" s="1"/>
  <c r="R850" i="1"/>
  <c r="W850" i="1" s="1"/>
  <c r="T850" i="1"/>
  <c r="X850" i="1" s="1"/>
  <c r="N864" i="1"/>
  <c r="U864" i="1" s="1"/>
  <c r="P864" i="1"/>
  <c r="V864" i="1" s="1"/>
  <c r="T864" i="1"/>
  <c r="X864" i="1" s="1"/>
  <c r="N865" i="1"/>
  <c r="U865" i="1" s="1"/>
  <c r="P865" i="1"/>
  <c r="V865" i="1" s="1"/>
  <c r="T866" i="1"/>
  <c r="X866" i="1" s="1"/>
  <c r="Y866" i="1" s="1"/>
  <c r="T867" i="1"/>
  <c r="X867" i="1" s="1"/>
  <c r="Y867" i="1" s="1"/>
  <c r="P876" i="1"/>
  <c r="V876" i="1" s="1"/>
  <c r="T876" i="1"/>
  <c r="X876" i="1" s="1"/>
  <c r="N877" i="1"/>
  <c r="U877" i="1" s="1"/>
  <c r="P877" i="1"/>
  <c r="V877" i="1" s="1"/>
  <c r="R877" i="1"/>
  <c r="W877" i="1" s="1"/>
  <c r="T877" i="1"/>
  <c r="X877" i="1" s="1"/>
  <c r="R878" i="1"/>
  <c r="W878" i="1" s="1"/>
  <c r="Y878" i="1" s="1"/>
  <c r="P879" i="1"/>
  <c r="V879" i="1" s="1"/>
  <c r="T879" i="1"/>
  <c r="X879" i="1" s="1"/>
  <c r="N880" i="1"/>
  <c r="U880" i="1" s="1"/>
  <c r="P880" i="1"/>
  <c r="V880" i="1" s="1"/>
  <c r="R880" i="1"/>
  <c r="W880" i="1" s="1"/>
  <c r="N881" i="1"/>
  <c r="U881" i="1" s="1"/>
  <c r="P881" i="1"/>
  <c r="V881" i="1" s="1"/>
  <c r="R881" i="1"/>
  <c r="W881" i="1" s="1"/>
  <c r="T881" i="1"/>
  <c r="X881" i="1" s="1"/>
  <c r="U882" i="1"/>
  <c r="V882" i="1"/>
  <c r="W882" i="1"/>
  <c r="X882" i="1"/>
  <c r="N883" i="1"/>
  <c r="U883" i="1" s="1"/>
  <c r="P883" i="1"/>
  <c r="V883" i="1" s="1"/>
  <c r="R883" i="1"/>
  <c r="W883" i="1" s="1"/>
  <c r="N884" i="1"/>
  <c r="U884" i="1" s="1"/>
  <c r="P884" i="1"/>
  <c r="V884" i="1" s="1"/>
  <c r="R884" i="1"/>
  <c r="W884" i="1" s="1"/>
  <c r="N885" i="1"/>
  <c r="U885" i="1" s="1"/>
  <c r="P885" i="1"/>
  <c r="V885" i="1" s="1"/>
  <c r="R885" i="1"/>
  <c r="W885" i="1" s="1"/>
  <c r="N886" i="1"/>
  <c r="U886" i="1" s="1"/>
  <c r="P886" i="1"/>
  <c r="V886" i="1" s="1"/>
  <c r="T886" i="1"/>
  <c r="X886" i="1" s="1"/>
  <c r="U887" i="1"/>
  <c r="P887" i="1"/>
  <c r="V887" i="1" s="1"/>
  <c r="W887" i="1"/>
  <c r="T887" i="1"/>
  <c r="X887" i="1" s="1"/>
  <c r="U842" i="1"/>
  <c r="V842" i="1"/>
  <c r="W842" i="1"/>
  <c r="X842" i="1"/>
  <c r="N871" i="1"/>
  <c r="U871" i="1" s="1"/>
  <c r="P871" i="1"/>
  <c r="V871" i="1" s="1"/>
  <c r="R871" i="1"/>
  <c r="W871" i="1" s="1"/>
  <c r="N888" i="1"/>
  <c r="U888" i="1" s="1"/>
  <c r="P888" i="1"/>
  <c r="V888" i="1" s="1"/>
  <c r="R888" i="1"/>
  <c r="W888" i="1" s="1"/>
  <c r="T888" i="1"/>
  <c r="X888" i="1" s="1"/>
  <c r="N868" i="1"/>
  <c r="U868" i="1" s="1"/>
  <c r="P868" i="1"/>
  <c r="V868" i="1" s="1"/>
  <c r="R868" i="1"/>
  <c r="W868" i="1" s="1"/>
  <c r="N870" i="1"/>
  <c r="U870" i="1" s="1"/>
  <c r="P870" i="1"/>
  <c r="V870" i="1" s="1"/>
  <c r="R870" i="1"/>
  <c r="W870" i="1" s="1"/>
  <c r="P848" i="1"/>
  <c r="V848" i="1" s="1"/>
  <c r="R848" i="1"/>
  <c r="W848" i="1" s="1"/>
  <c r="T848" i="1"/>
  <c r="X848" i="1" s="1"/>
  <c r="N904" i="1"/>
  <c r="U904" i="1" s="1"/>
  <c r="P904" i="1"/>
  <c r="V904" i="1" s="1"/>
  <c r="R904" i="1"/>
  <c r="W904" i="1" s="1"/>
  <c r="N905" i="1"/>
  <c r="U905" i="1" s="1"/>
  <c r="P905" i="1"/>
  <c r="V905" i="1" s="1"/>
  <c r="N906" i="1"/>
  <c r="U906" i="1" s="1"/>
  <c r="P906" i="1"/>
  <c r="V906" i="1" s="1"/>
  <c r="R906" i="1"/>
  <c r="W906" i="1" s="1"/>
  <c r="P930" i="1"/>
  <c r="V930" i="1" s="1"/>
  <c r="T930" i="1"/>
  <c r="X930" i="1" s="1"/>
  <c r="P931" i="1"/>
  <c r="V931" i="1" s="1"/>
  <c r="T931" i="1"/>
  <c r="X931" i="1" s="1"/>
  <c r="P932" i="1"/>
  <c r="V932" i="1" s="1"/>
  <c r="T932" i="1"/>
  <c r="X932" i="1" s="1"/>
  <c r="P933" i="1"/>
  <c r="V933" i="1" s="1"/>
  <c r="T933" i="1"/>
  <c r="X933" i="1" s="1"/>
  <c r="P934" i="1"/>
  <c r="V934" i="1" s="1"/>
  <c r="T934" i="1"/>
  <c r="X934" i="1" s="1"/>
  <c r="P935" i="1"/>
  <c r="V935" i="1" s="1"/>
  <c r="Y935" i="1" s="1"/>
  <c r="P936" i="1"/>
  <c r="V936" i="1" s="1"/>
  <c r="Y936" i="1" s="1"/>
  <c r="N937" i="1"/>
  <c r="U937" i="1" s="1"/>
  <c r="P937" i="1"/>
  <c r="V937" i="1" s="1"/>
  <c r="T937" i="1"/>
  <c r="X937" i="1" s="1"/>
  <c r="P938" i="1"/>
  <c r="V938" i="1" s="1"/>
  <c r="T938" i="1"/>
  <c r="X938" i="1" s="1"/>
  <c r="P939" i="1"/>
  <c r="V939" i="1" s="1"/>
  <c r="T939" i="1"/>
  <c r="X939" i="1" s="1"/>
  <c r="N951" i="1"/>
  <c r="U951" i="1" s="1"/>
  <c r="P951" i="1"/>
  <c r="V951" i="1" s="1"/>
  <c r="T951" i="1"/>
  <c r="X951" i="1" s="1"/>
  <c r="P948" i="1"/>
  <c r="V948" i="1" s="1"/>
  <c r="T948" i="1"/>
  <c r="X948" i="1" s="1"/>
  <c r="N949" i="1"/>
  <c r="U949" i="1" s="1"/>
  <c r="P949" i="1"/>
  <c r="V949" i="1" s="1"/>
  <c r="P950" i="1"/>
  <c r="V950" i="1" s="1"/>
  <c r="R950" i="1"/>
  <c r="W950" i="1" s="1"/>
  <c r="N952" i="1"/>
  <c r="U952" i="1" s="1"/>
  <c r="P952" i="1"/>
  <c r="V952" i="1" s="1"/>
  <c r="R952" i="1"/>
  <c r="W952" i="1" s="1"/>
  <c r="N956" i="1"/>
  <c r="U956" i="1" s="1"/>
  <c r="P956" i="1"/>
  <c r="V956" i="1" s="1"/>
  <c r="N953" i="1"/>
  <c r="U953" i="1" s="1"/>
  <c r="P953" i="1"/>
  <c r="V953" i="1" s="1"/>
  <c r="R953" i="1"/>
  <c r="W953" i="1" s="1"/>
  <c r="N954" i="1"/>
  <c r="U954" i="1" s="1"/>
  <c r="P954" i="1"/>
  <c r="V954" i="1" s="1"/>
  <c r="N955" i="1"/>
  <c r="U955" i="1" s="1"/>
  <c r="P955" i="1"/>
  <c r="V955" i="1" s="1"/>
  <c r="R955" i="1"/>
  <c r="W955" i="1" s="1"/>
  <c r="T955" i="1"/>
  <c r="X955" i="1" s="1"/>
  <c r="N971" i="1"/>
  <c r="U971" i="1" s="1"/>
  <c r="P971" i="1"/>
  <c r="V971" i="1" s="1"/>
  <c r="P972" i="1"/>
  <c r="V972" i="1" s="1"/>
  <c r="T972" i="1"/>
  <c r="X972" i="1" s="1"/>
  <c r="P990" i="1"/>
  <c r="V990" i="1" s="1"/>
  <c r="Y990" i="1" s="1"/>
  <c r="P973" i="1"/>
  <c r="V973" i="1" s="1"/>
  <c r="T973" i="1"/>
  <c r="X973" i="1" s="1"/>
  <c r="P974" i="1"/>
  <c r="V974" i="1" s="1"/>
  <c r="Y974" i="1" s="1"/>
  <c r="P975" i="1"/>
  <c r="V975" i="1" s="1"/>
  <c r="T975" i="1"/>
  <c r="X975" i="1" s="1"/>
  <c r="P976" i="1"/>
  <c r="V976" i="1" s="1"/>
  <c r="T976" i="1"/>
  <c r="X976" i="1" s="1"/>
  <c r="P977" i="1"/>
  <c r="V977" i="1" s="1"/>
  <c r="R977" i="1"/>
  <c r="W977" i="1" s="1"/>
  <c r="N978" i="1"/>
  <c r="U978" i="1" s="1"/>
  <c r="P978" i="1"/>
  <c r="V978" i="1" s="1"/>
  <c r="P979" i="1"/>
  <c r="V979" i="1" s="1"/>
  <c r="Y979" i="1" s="1"/>
  <c r="T980" i="1"/>
  <c r="X980" i="1" s="1"/>
  <c r="Y980" i="1" s="1"/>
  <c r="P981" i="1"/>
  <c r="V981" i="1" s="1"/>
  <c r="Y981" i="1" s="1"/>
  <c r="P982" i="1"/>
  <c r="V982" i="1" s="1"/>
  <c r="T982" i="1"/>
  <c r="X982" i="1" s="1"/>
  <c r="T983" i="1"/>
  <c r="X983" i="1" s="1"/>
  <c r="Y983" i="1" s="1"/>
  <c r="P984" i="1"/>
  <c r="V984" i="1" s="1"/>
  <c r="T984" i="1"/>
  <c r="X984" i="1" s="1"/>
  <c r="P985" i="1"/>
  <c r="V985" i="1" s="1"/>
  <c r="Y985" i="1" s="1"/>
  <c r="N991" i="1"/>
  <c r="U991" i="1" s="1"/>
  <c r="P991" i="1"/>
  <c r="V991" i="1" s="1"/>
  <c r="R991" i="1"/>
  <c r="W991" i="1" s="1"/>
  <c r="P986" i="1"/>
  <c r="V986" i="1" s="1"/>
  <c r="T986" i="1"/>
  <c r="X986" i="1" s="1"/>
  <c r="P987" i="1"/>
  <c r="V987" i="1" s="1"/>
  <c r="T987" i="1"/>
  <c r="X987" i="1" s="1"/>
  <c r="R988" i="1"/>
  <c r="W988" i="1" s="1"/>
  <c r="Y988" i="1" s="1"/>
  <c r="P989" i="1"/>
  <c r="V989" i="1" s="1"/>
  <c r="Y989" i="1" s="1"/>
  <c r="N1000" i="1"/>
  <c r="U1000" i="1" s="1"/>
  <c r="P1000" i="1"/>
  <c r="V1000" i="1" s="1"/>
  <c r="R1000" i="1"/>
  <c r="W1000" i="1" s="1"/>
  <c r="T1000" i="1"/>
  <c r="X1000" i="1" s="1"/>
  <c r="N1001" i="1"/>
  <c r="U1001" i="1" s="1"/>
  <c r="P1001" i="1"/>
  <c r="V1001" i="1" s="1"/>
  <c r="R1001" i="1"/>
  <c r="W1001" i="1" s="1"/>
  <c r="N1002" i="1"/>
  <c r="U1002" i="1" s="1"/>
  <c r="T1002" i="1"/>
  <c r="X1002" i="1" s="1"/>
  <c r="N1003" i="1"/>
  <c r="U1003" i="1" s="1"/>
  <c r="P1003" i="1"/>
  <c r="V1003" i="1" s="1"/>
  <c r="T1003" i="1"/>
  <c r="X1003" i="1" s="1"/>
  <c r="P1004" i="1"/>
  <c r="V1004" i="1" s="1"/>
  <c r="R1004" i="1"/>
  <c r="W1004" i="1" s="1"/>
  <c r="T1004" i="1"/>
  <c r="X1004" i="1" s="1"/>
  <c r="R1005" i="1"/>
  <c r="W1005" i="1" s="1"/>
  <c r="T1005" i="1"/>
  <c r="X1005" i="1" s="1"/>
  <c r="N1006" i="1"/>
  <c r="U1006" i="1" s="1"/>
  <c r="Y1006" i="1" s="1"/>
  <c r="N1035" i="1"/>
  <c r="U1035" i="1" s="1"/>
  <c r="P1035" i="1"/>
  <c r="V1035" i="1" s="1"/>
  <c r="R1035" i="1"/>
  <c r="W1035" i="1" s="1"/>
  <c r="T1035" i="1"/>
  <c r="X1035" i="1" s="1"/>
  <c r="N1036" i="1"/>
  <c r="U1036" i="1" s="1"/>
  <c r="P1036" i="1"/>
  <c r="V1036" i="1" s="1"/>
  <c r="R1036" i="1"/>
  <c r="W1036" i="1" s="1"/>
  <c r="T1036" i="1"/>
  <c r="X1036" i="1" s="1"/>
  <c r="P1037" i="1"/>
  <c r="V1037" i="1" s="1"/>
  <c r="Y1037" i="1" s="1"/>
  <c r="P1038" i="1"/>
  <c r="V1038" i="1" s="1"/>
  <c r="T1038" i="1"/>
  <c r="X1038" i="1" s="1"/>
  <c r="N994" i="1"/>
  <c r="U994" i="1" s="1"/>
  <c r="P994" i="1"/>
  <c r="V994" i="1" s="1"/>
  <c r="R994" i="1"/>
  <c r="W994" i="1" s="1"/>
  <c r="N995" i="1"/>
  <c r="U995" i="1" s="1"/>
  <c r="P995" i="1"/>
  <c r="V995" i="1" s="1"/>
  <c r="R995" i="1"/>
  <c r="W995" i="1" s="1"/>
  <c r="N1039" i="1"/>
  <c r="U1039" i="1" s="1"/>
  <c r="P1039" i="1"/>
  <c r="V1039" i="1" s="1"/>
  <c r="N1040" i="1"/>
  <c r="U1040" i="1" s="1"/>
  <c r="P1040" i="1"/>
  <c r="V1040" i="1" s="1"/>
  <c r="T1040" i="1"/>
  <c r="X1040" i="1" s="1"/>
  <c r="N1041" i="1"/>
  <c r="U1041" i="1" s="1"/>
  <c r="P1041" i="1"/>
  <c r="V1041" i="1" s="1"/>
  <c r="R1041" i="1"/>
  <c r="W1041" i="1" s="1"/>
  <c r="P996" i="1"/>
  <c r="V996" i="1" s="1"/>
  <c r="Y996" i="1" s="1"/>
  <c r="P1072" i="1"/>
  <c r="V1072" i="1" s="1"/>
  <c r="R1072" i="1"/>
  <c r="W1072" i="1" s="1"/>
  <c r="T1072" i="1"/>
  <c r="X1072" i="1" s="1"/>
  <c r="T1073" i="1"/>
  <c r="X1073" i="1" s="1"/>
  <c r="Y1073" i="1" s="1"/>
  <c r="N1074" i="1"/>
  <c r="U1074" i="1" s="1"/>
  <c r="P1074" i="1"/>
  <c r="V1074" i="1" s="1"/>
  <c r="N1075" i="1"/>
  <c r="U1075" i="1" s="1"/>
  <c r="P1075" i="1"/>
  <c r="V1075" i="1" s="1"/>
  <c r="P1076" i="1"/>
  <c r="V1076" i="1" s="1"/>
  <c r="R1076" i="1"/>
  <c r="W1076" i="1" s="1"/>
  <c r="N1078" i="1"/>
  <c r="U1078" i="1" s="1"/>
  <c r="P1078" i="1"/>
  <c r="V1078" i="1" s="1"/>
  <c r="T1078" i="1"/>
  <c r="X1078" i="1" s="1"/>
  <c r="P1079" i="1"/>
  <c r="V1079" i="1" s="1"/>
  <c r="T1079" i="1"/>
  <c r="X1079" i="1" s="1"/>
  <c r="P1080" i="1"/>
  <c r="V1080" i="1" s="1"/>
  <c r="R1080" i="1"/>
  <c r="W1080" i="1" s="1"/>
  <c r="T1080" i="1"/>
  <c r="X1080" i="1" s="1"/>
  <c r="P1077" i="1"/>
  <c r="V1077" i="1" s="1"/>
  <c r="R1077" i="1"/>
  <c r="W1077" i="1" s="1"/>
  <c r="P1081" i="1"/>
  <c r="V1081" i="1" s="1"/>
  <c r="T1081" i="1"/>
  <c r="X1081" i="1" s="1"/>
  <c r="P1082" i="1"/>
  <c r="V1082" i="1" s="1"/>
  <c r="T1082" i="1"/>
  <c r="X1082" i="1" s="1"/>
  <c r="P1083" i="1"/>
  <c r="V1083" i="1" s="1"/>
  <c r="R1083" i="1"/>
  <c r="W1083" i="1" s="1"/>
  <c r="N1084" i="1"/>
  <c r="U1084" i="1" s="1"/>
  <c r="P1084" i="1"/>
  <c r="V1084" i="1" s="1"/>
  <c r="R1084" i="1"/>
  <c r="W1084" i="1" s="1"/>
  <c r="P1085" i="1"/>
  <c r="V1085" i="1" s="1"/>
  <c r="T1085" i="1"/>
  <c r="X1085" i="1" s="1"/>
  <c r="P1086" i="1"/>
  <c r="V1086" i="1" s="1"/>
  <c r="T1086" i="1"/>
  <c r="X1086" i="1" s="1"/>
  <c r="P1071" i="1"/>
  <c r="V1071" i="1" s="1"/>
  <c r="T1071" i="1"/>
  <c r="X1071" i="1" s="1"/>
  <c r="P1087" i="1"/>
  <c r="V1087" i="1" s="1"/>
  <c r="T1087" i="1"/>
  <c r="X1087" i="1" s="1"/>
  <c r="P1088" i="1"/>
  <c r="V1088" i="1" s="1"/>
  <c r="R1088" i="1"/>
  <c r="W1088" i="1" s="1"/>
  <c r="P1089" i="1"/>
  <c r="V1089" i="1" s="1"/>
  <c r="Y1089" i="1" s="1"/>
  <c r="P1091" i="1"/>
  <c r="V1091" i="1" s="1"/>
  <c r="R1091" i="1"/>
  <c r="W1091" i="1" s="1"/>
  <c r="N1090" i="1"/>
  <c r="U1090" i="1" s="1"/>
  <c r="P1090" i="1"/>
  <c r="V1090" i="1" s="1"/>
  <c r="R1090" i="1"/>
  <c r="W1090" i="1" s="1"/>
  <c r="P1092" i="1"/>
  <c r="V1092" i="1" s="1"/>
  <c r="R1092" i="1"/>
  <c r="W1092" i="1" s="1"/>
  <c r="T1092" i="1"/>
  <c r="X1092" i="1" s="1"/>
  <c r="P1093" i="1"/>
  <c r="V1093" i="1" s="1"/>
  <c r="T1093" i="1"/>
  <c r="X1093" i="1" s="1"/>
  <c r="P1094" i="1"/>
  <c r="V1094" i="1" s="1"/>
  <c r="R1094" i="1"/>
  <c r="W1094" i="1" s="1"/>
  <c r="T1094" i="1"/>
  <c r="X1094" i="1" s="1"/>
  <c r="J363" i="1"/>
  <c r="J365" i="1"/>
  <c r="L365" i="1" s="1"/>
  <c r="J792" i="1"/>
  <c r="J726" i="1"/>
  <c r="J728" i="1"/>
  <c r="L728" i="1" s="1"/>
  <c r="J802" i="1"/>
  <c r="L802" i="1" s="1"/>
  <c r="J743" i="1"/>
  <c r="J744" i="1"/>
  <c r="L744" i="1" s="1"/>
  <c r="J735" i="1"/>
  <c r="L735" i="1" s="1"/>
  <c r="J769" i="1"/>
  <c r="J775" i="1"/>
  <c r="L775" i="1" s="1"/>
  <c r="J776" i="1"/>
  <c r="J784" i="1"/>
  <c r="J844" i="1"/>
  <c r="L844" i="1" s="1"/>
  <c r="J889" i="1"/>
  <c r="J897" i="1"/>
  <c r="J940" i="1"/>
  <c r="L940" i="1" s="1"/>
  <c r="J1032" i="1"/>
  <c r="L1032" i="1" s="1"/>
  <c r="J1054" i="1"/>
  <c r="J1067" i="1"/>
  <c r="L1067" i="1" s="1"/>
  <c r="J1011" i="1"/>
  <c r="J1023" i="1"/>
  <c r="L1023" i="1" s="1"/>
  <c r="J1024" i="1"/>
  <c r="L1024" i="1" s="1"/>
  <c r="J993" i="1"/>
  <c r="J998" i="1"/>
  <c r="L998" i="1" s="1"/>
  <c r="J999" i="1"/>
  <c r="L999" i="1" s="1"/>
  <c r="J1044" i="1"/>
  <c r="J1048" i="1"/>
  <c r="L1048" i="1" s="1"/>
  <c r="J1049" i="1"/>
  <c r="L1049" i="1" s="1"/>
  <c r="J169" i="1"/>
  <c r="L169" i="1" s="1"/>
  <c r="J226" i="1"/>
  <c r="L226" i="1" s="1"/>
  <c r="J242" i="1"/>
  <c r="J243" i="1"/>
  <c r="L243" i="1" s="1"/>
  <c r="J244" i="1"/>
  <c r="L244" i="1" s="1"/>
  <c r="J20" i="1"/>
  <c r="J33" i="1"/>
  <c r="L33" i="1" s="1"/>
  <c r="J50" i="1"/>
  <c r="J51" i="1"/>
  <c r="L51" i="1" s="1"/>
  <c r="J7" i="1"/>
  <c r="J52" i="1"/>
  <c r="J54" i="1"/>
  <c r="J59" i="1"/>
  <c r="L59" i="1" s="1"/>
  <c r="J85" i="1"/>
  <c r="J72" i="1"/>
  <c r="J76" i="1"/>
  <c r="J98" i="1"/>
  <c r="AK5" i="1" s="1"/>
  <c r="J110" i="1"/>
  <c r="L110" i="1" s="1"/>
  <c r="J127" i="1"/>
  <c r="J131" i="1"/>
  <c r="L131" i="1" s="1"/>
  <c r="J132" i="1"/>
  <c r="L132" i="1" s="1"/>
  <c r="J117" i="1"/>
  <c r="L117" i="1" s="1"/>
  <c r="J119" i="1"/>
  <c r="L119" i="1" s="1"/>
  <c r="J120" i="1"/>
  <c r="L120" i="1" s="1"/>
  <c r="J121" i="1"/>
  <c r="L121" i="1" s="1"/>
  <c r="J123" i="1"/>
  <c r="J124" i="1"/>
  <c r="J125" i="1"/>
  <c r="J152" i="1"/>
  <c r="L152" i="1" s="1"/>
  <c r="J153" i="1"/>
  <c r="L153" i="1" s="1"/>
  <c r="J162" i="1"/>
  <c r="L162" i="1" s="1"/>
  <c r="J252" i="1"/>
  <c r="J254" i="1"/>
  <c r="L254" i="1" s="1"/>
  <c r="J189" i="1"/>
  <c r="J201" i="1"/>
  <c r="J203" i="1"/>
  <c r="J207" i="1"/>
  <c r="J208" i="1"/>
  <c r="J221" i="1"/>
  <c r="J225" i="1"/>
  <c r="L225" i="1" s="1"/>
  <c r="J282" i="1"/>
  <c r="AK13" i="1" s="1"/>
  <c r="J302" i="1"/>
  <c r="J286" i="1"/>
  <c r="AK14" i="1" s="1"/>
  <c r="J341" i="1"/>
  <c r="AK15" i="1" s="1"/>
  <c r="J385" i="1"/>
  <c r="J390" i="1"/>
  <c r="L390" i="1" s="1"/>
  <c r="J377" i="1"/>
  <c r="L377" i="1" s="1"/>
  <c r="J379" i="1"/>
  <c r="J404" i="1"/>
  <c r="J405" i="1"/>
  <c r="L405" i="1" s="1"/>
  <c r="J409" i="1"/>
  <c r="J410" i="1"/>
  <c r="J412" i="1"/>
  <c r="L412" i="1" s="1"/>
  <c r="J413" i="1"/>
  <c r="L413" i="1" s="1"/>
  <c r="J420" i="1"/>
  <c r="J424" i="1"/>
  <c r="J426" i="1"/>
  <c r="J429" i="1"/>
  <c r="J430" i="1"/>
  <c r="L430" i="1" s="1"/>
  <c r="J433" i="1"/>
  <c r="L433" i="1" s="1"/>
  <c r="J434" i="1"/>
  <c r="J435" i="1"/>
  <c r="J445" i="1"/>
  <c r="J455" i="1"/>
  <c r="J456" i="1"/>
  <c r="L456" i="1" s="1"/>
  <c r="J460" i="1"/>
  <c r="J466" i="1"/>
  <c r="J472" i="1"/>
  <c r="L472" i="1" s="1"/>
  <c r="J473" i="1"/>
  <c r="J475" i="1"/>
  <c r="L475" i="1" s="1"/>
  <c r="J476" i="1"/>
  <c r="L476" i="1" s="1"/>
  <c r="J477" i="1"/>
  <c r="L477" i="1" s="1"/>
  <c r="J480" i="1"/>
  <c r="J481" i="1"/>
  <c r="J484" i="1"/>
  <c r="L484" i="1" s="1"/>
  <c r="J485" i="1"/>
  <c r="J486" i="1"/>
  <c r="J494" i="1"/>
  <c r="J518" i="1"/>
  <c r="J522" i="1"/>
  <c r="J578" i="1"/>
  <c r="J572" i="1"/>
  <c r="J573" i="1"/>
  <c r="J583" i="1"/>
  <c r="J589" i="1"/>
  <c r="J591" i="1"/>
  <c r="L591" i="1" s="1"/>
  <c r="J592" i="1"/>
  <c r="J595" i="1"/>
  <c r="J596" i="1"/>
  <c r="J599" i="1"/>
  <c r="J622" i="1"/>
  <c r="L622" i="1" s="1"/>
  <c r="J626" i="1"/>
  <c r="AK26" i="1" s="1"/>
  <c r="J630" i="1"/>
  <c r="L630" i="1" s="1"/>
  <c r="J631" i="1"/>
  <c r="J645" i="1"/>
  <c r="J650" i="1"/>
  <c r="L650" i="1" s="1"/>
  <c r="J652" i="1"/>
  <c r="L652" i="1" s="1"/>
  <c r="J658" i="1"/>
  <c r="J659" i="1"/>
  <c r="L659" i="1" s="1"/>
  <c r="J678" i="1"/>
  <c r="J679" i="1"/>
  <c r="L679" i="1" s="1"/>
  <c r="J682" i="1"/>
  <c r="J684" i="1"/>
  <c r="L684" i="1" s="1"/>
  <c r="J685" i="1"/>
  <c r="J697" i="1"/>
  <c r="J702" i="1"/>
  <c r="J703" i="1"/>
  <c r="L703" i="1" s="1"/>
  <c r="J704" i="1"/>
  <c r="J824" i="1"/>
  <c r="J825" i="1"/>
  <c r="J833" i="1"/>
  <c r="J840" i="1"/>
  <c r="L840" i="1" s="1"/>
  <c r="J919" i="1"/>
  <c r="AK36" i="1" s="1"/>
  <c r="J852" i="1"/>
  <c r="AK33" i="1" s="1"/>
  <c r="J883" i="1"/>
  <c r="J884" i="1"/>
  <c r="J977" i="1"/>
  <c r="J981" i="1"/>
  <c r="J984" i="1"/>
  <c r="J995" i="1"/>
  <c r="J996" i="1"/>
  <c r="L996" i="1" s="1"/>
  <c r="J1081" i="1"/>
  <c r="L1081" i="1" s="1"/>
  <c r="J1084" i="1"/>
  <c r="L1084" i="1" s="1"/>
  <c r="J1085" i="1"/>
  <c r="L1085" i="1" s="1"/>
  <c r="J1086" i="1"/>
  <c r="J1089" i="1"/>
  <c r="J1092" i="1"/>
  <c r="L1092" i="1" s="1"/>
  <c r="R248" i="1"/>
  <c r="R247" i="1"/>
  <c r="P247" i="1"/>
  <c r="N247" i="1"/>
  <c r="R246" i="1"/>
  <c r="P246" i="1"/>
  <c r="R245" i="1"/>
  <c r="P245" i="1"/>
  <c r="N245" i="1"/>
  <c r="R244" i="1"/>
  <c r="P244" i="1"/>
  <c r="N244" i="1"/>
  <c r="R243" i="1"/>
  <c r="P243" i="1"/>
  <c r="N243" i="1"/>
  <c r="R242" i="1"/>
  <c r="P242" i="1"/>
  <c r="N242" i="1"/>
  <c r="R228" i="1"/>
  <c r="P228" i="1"/>
  <c r="N228" i="1"/>
  <c r="R227" i="1"/>
  <c r="P227" i="1"/>
  <c r="R226" i="1"/>
  <c r="P226" i="1"/>
  <c r="N226" i="1"/>
  <c r="R169" i="1"/>
  <c r="P169" i="1"/>
  <c r="N169" i="1"/>
  <c r="R241" i="1"/>
  <c r="R238" i="1"/>
  <c r="P238" i="1"/>
  <c r="N238" i="1"/>
  <c r="R237" i="1"/>
  <c r="P237" i="1"/>
  <c r="R236" i="1"/>
  <c r="P236" i="1"/>
  <c r="R235" i="1"/>
  <c r="P235" i="1"/>
  <c r="N235" i="1"/>
  <c r="R234" i="1"/>
  <c r="P234" i="1"/>
  <c r="R233" i="1"/>
  <c r="P233" i="1"/>
  <c r="N233" i="1"/>
  <c r="R232" i="1"/>
  <c r="P232" i="1"/>
  <c r="N232" i="1"/>
  <c r="R231" i="1"/>
  <c r="N231" i="1"/>
  <c r="R230" i="1"/>
  <c r="P230" i="1"/>
  <c r="N230" i="1"/>
  <c r="R229" i="1"/>
  <c r="R992" i="1"/>
  <c r="N992" i="1"/>
  <c r="R1070" i="1"/>
  <c r="P1070" i="1"/>
  <c r="R1069" i="1"/>
  <c r="P1069" i="1"/>
  <c r="R1025" i="1"/>
  <c r="P1025" i="1"/>
  <c r="R1051" i="1"/>
  <c r="R1050" i="1"/>
  <c r="P1050" i="1"/>
  <c r="N1050" i="1"/>
  <c r="R1049" i="1"/>
  <c r="P1049" i="1"/>
  <c r="N1049" i="1"/>
  <c r="P1048" i="1"/>
  <c r="N1048" i="1"/>
  <c r="R1047" i="1"/>
  <c r="P1047" i="1"/>
  <c r="N1047" i="1"/>
  <c r="R1046" i="1"/>
  <c r="P1046" i="1"/>
  <c r="R1045" i="1"/>
  <c r="P1045" i="1"/>
  <c r="N1045" i="1"/>
  <c r="R1044" i="1"/>
  <c r="P1044" i="1"/>
  <c r="N1044" i="1"/>
  <c r="R1043" i="1"/>
  <c r="P1043" i="1"/>
  <c r="N1043" i="1"/>
  <c r="P999" i="1"/>
  <c r="N999" i="1"/>
  <c r="R998" i="1"/>
  <c r="P998" i="1"/>
  <c r="N998" i="1"/>
  <c r="R997" i="1"/>
  <c r="P997" i="1"/>
  <c r="N997" i="1"/>
  <c r="R993" i="1"/>
  <c r="P993" i="1"/>
  <c r="N993" i="1"/>
  <c r="R1024" i="1"/>
  <c r="P1024" i="1"/>
  <c r="N1024" i="1"/>
  <c r="P1023" i="1"/>
  <c r="R1022" i="1"/>
  <c r="P1022" i="1"/>
  <c r="N1022" i="1"/>
  <c r="R1021" i="1"/>
  <c r="P1021" i="1"/>
  <c r="N1021" i="1"/>
  <c r="R1020" i="1"/>
  <c r="P1020" i="1"/>
  <c r="N1020" i="1"/>
  <c r="R1019" i="1"/>
  <c r="P1019" i="1"/>
  <c r="R1018" i="1"/>
  <c r="R1017" i="1"/>
  <c r="P1017" i="1"/>
  <c r="N1017" i="1"/>
  <c r="R1016" i="1"/>
  <c r="P1016" i="1"/>
  <c r="R1015" i="1"/>
  <c r="R1014" i="1"/>
  <c r="P1014" i="1"/>
  <c r="R1013" i="1"/>
  <c r="P1013" i="1"/>
  <c r="N1013" i="1"/>
  <c r="R1012" i="1"/>
  <c r="R1011" i="1"/>
  <c r="N1011" i="1"/>
  <c r="R1010" i="1"/>
  <c r="P1010" i="1"/>
  <c r="N1010" i="1"/>
  <c r="R1009" i="1"/>
  <c r="P1009" i="1"/>
  <c r="R1008" i="1"/>
  <c r="P1008" i="1"/>
  <c r="R1007" i="1"/>
  <c r="P1007" i="1"/>
  <c r="N1007" i="1"/>
  <c r="R1068" i="1"/>
  <c r="P1068" i="1"/>
  <c r="R1067" i="1"/>
  <c r="P1067" i="1"/>
  <c r="N1067" i="1"/>
  <c r="R1065" i="1"/>
  <c r="P1065" i="1"/>
  <c r="N1065" i="1"/>
  <c r="R1064" i="1"/>
  <c r="P1064" i="1"/>
  <c r="R1063" i="1"/>
  <c r="P1063" i="1"/>
  <c r="N1063" i="1"/>
  <c r="R1062" i="1"/>
  <c r="P1062" i="1"/>
  <c r="R1061" i="1"/>
  <c r="R1060" i="1"/>
  <c r="P1060" i="1"/>
  <c r="R1059" i="1"/>
  <c r="P1059" i="1"/>
  <c r="R1058" i="1"/>
  <c r="P1058" i="1"/>
  <c r="N1058" i="1"/>
  <c r="R1057" i="1"/>
  <c r="R1056" i="1"/>
  <c r="P1055" i="1"/>
  <c r="P1054" i="1"/>
  <c r="R1053" i="1"/>
  <c r="P1053" i="1"/>
  <c r="R1052" i="1"/>
  <c r="P1052" i="1"/>
  <c r="R1042" i="1"/>
  <c r="P1042" i="1"/>
  <c r="R1034" i="1"/>
  <c r="R1033" i="1"/>
  <c r="R1032" i="1"/>
  <c r="P1032" i="1"/>
  <c r="N1032" i="1"/>
  <c r="R1031" i="1"/>
  <c r="P1031" i="1"/>
  <c r="N1031" i="1"/>
  <c r="R1030" i="1"/>
  <c r="R1029" i="1"/>
  <c r="P1029" i="1"/>
  <c r="R1028" i="1"/>
  <c r="P1028" i="1"/>
  <c r="R1027" i="1"/>
  <c r="R1026" i="1"/>
  <c r="P1026" i="1"/>
  <c r="P957" i="1"/>
  <c r="N957" i="1"/>
  <c r="R970" i="1"/>
  <c r="P970" i="1"/>
  <c r="R969" i="1"/>
  <c r="R968" i="1"/>
  <c r="P968" i="1"/>
  <c r="R967" i="1"/>
  <c r="P967" i="1"/>
  <c r="N967" i="1"/>
  <c r="R966" i="1"/>
  <c r="R965" i="1"/>
  <c r="P965" i="1"/>
  <c r="R964" i="1"/>
  <c r="P964" i="1"/>
  <c r="R963" i="1"/>
  <c r="P963" i="1"/>
  <c r="R962" i="1"/>
  <c r="P962" i="1"/>
  <c r="R961" i="1"/>
  <c r="P961" i="1"/>
  <c r="P960" i="1"/>
  <c r="N960" i="1"/>
  <c r="R959" i="1"/>
  <c r="R958" i="1"/>
  <c r="P958" i="1"/>
  <c r="N958" i="1"/>
  <c r="R944" i="1"/>
  <c r="P944" i="1"/>
  <c r="R943" i="1"/>
  <c r="P943" i="1"/>
  <c r="R942" i="1"/>
  <c r="P942" i="1"/>
  <c r="N942" i="1"/>
  <c r="R941" i="1"/>
  <c r="P941" i="1"/>
  <c r="R940" i="1"/>
  <c r="P940" i="1"/>
  <c r="R946" i="1"/>
  <c r="P946" i="1"/>
  <c r="R869" i="1"/>
  <c r="R903" i="1"/>
  <c r="R902" i="1"/>
  <c r="P902" i="1"/>
  <c r="N902" i="1"/>
  <c r="R901" i="1"/>
  <c r="P901" i="1"/>
  <c r="N901" i="1"/>
  <c r="R900" i="1"/>
  <c r="P900" i="1"/>
  <c r="R899" i="1"/>
  <c r="P899" i="1"/>
  <c r="N899" i="1"/>
  <c r="R898" i="1"/>
  <c r="P898" i="1"/>
  <c r="N898" i="1"/>
  <c r="R897" i="1"/>
  <c r="P897" i="1"/>
  <c r="N897" i="1"/>
  <c r="R896" i="1"/>
  <c r="P896" i="1"/>
  <c r="R895" i="1"/>
  <c r="P895" i="1"/>
  <c r="R894" i="1"/>
  <c r="P894" i="1"/>
  <c r="N894" i="1"/>
  <c r="R893" i="1"/>
  <c r="P893" i="1"/>
  <c r="N893" i="1"/>
  <c r="R892" i="1"/>
  <c r="P892" i="1"/>
  <c r="N892" i="1"/>
  <c r="R891" i="1"/>
  <c r="P891" i="1"/>
  <c r="R890" i="1"/>
  <c r="R889" i="1"/>
  <c r="P889" i="1"/>
  <c r="N889" i="1"/>
  <c r="R847" i="1"/>
  <c r="P847" i="1"/>
  <c r="N847" i="1"/>
  <c r="R846" i="1"/>
  <c r="P846" i="1"/>
  <c r="R845" i="1"/>
  <c r="P845" i="1"/>
  <c r="N845" i="1"/>
  <c r="R844" i="1"/>
  <c r="P844" i="1"/>
  <c r="R843" i="1"/>
  <c r="P843" i="1"/>
  <c r="N843" i="1"/>
  <c r="R810" i="1"/>
  <c r="P810" i="1"/>
  <c r="R784" i="1"/>
  <c r="P784" i="1"/>
  <c r="R783" i="1"/>
  <c r="P783" i="1"/>
  <c r="N783" i="1"/>
  <c r="R782" i="1"/>
  <c r="P782" i="1"/>
  <c r="R781" i="1"/>
  <c r="P781" i="1"/>
  <c r="N781" i="1"/>
  <c r="R780" i="1"/>
  <c r="P780" i="1"/>
  <c r="R779" i="1"/>
  <c r="R778" i="1"/>
  <c r="P778" i="1"/>
  <c r="R777" i="1"/>
  <c r="P777" i="1"/>
  <c r="N777" i="1"/>
  <c r="R776" i="1"/>
  <c r="P776" i="1"/>
  <c r="R775" i="1"/>
  <c r="P775" i="1"/>
  <c r="R774" i="1"/>
  <c r="P774" i="1"/>
  <c r="N774" i="1"/>
  <c r="R773" i="1"/>
  <c r="P773" i="1"/>
  <c r="N773" i="1"/>
  <c r="R772" i="1"/>
  <c r="P772" i="1"/>
  <c r="R771" i="1"/>
  <c r="P771" i="1"/>
  <c r="R770" i="1"/>
  <c r="P770" i="1"/>
  <c r="N770" i="1"/>
  <c r="R769" i="1"/>
  <c r="P769" i="1"/>
  <c r="R768" i="1"/>
  <c r="P768" i="1"/>
  <c r="N768" i="1"/>
  <c r="R767" i="1"/>
  <c r="P767" i="1"/>
  <c r="R799" i="1"/>
  <c r="P799" i="1"/>
  <c r="N799" i="1"/>
  <c r="R798" i="1"/>
  <c r="P798" i="1"/>
  <c r="R797" i="1"/>
  <c r="P797" i="1"/>
  <c r="N797" i="1"/>
  <c r="R796" i="1"/>
  <c r="P796" i="1"/>
  <c r="R795" i="1"/>
  <c r="P795" i="1"/>
  <c r="N795" i="1"/>
  <c r="R794" i="1"/>
  <c r="R793" i="1"/>
  <c r="P793" i="1"/>
  <c r="R735" i="1"/>
  <c r="P735" i="1"/>
  <c r="N735" i="1"/>
  <c r="R760" i="1"/>
  <c r="P760" i="1"/>
  <c r="R759" i="1"/>
  <c r="R758" i="1"/>
  <c r="P758" i="1"/>
  <c r="R757" i="1"/>
  <c r="R756" i="1"/>
  <c r="P756" i="1"/>
  <c r="R755" i="1"/>
  <c r="P755" i="1"/>
  <c r="N755" i="1"/>
  <c r="R754" i="1"/>
  <c r="P754" i="1"/>
  <c r="R753" i="1"/>
  <c r="P753" i="1"/>
  <c r="R752" i="1"/>
  <c r="P752" i="1"/>
  <c r="N752" i="1"/>
  <c r="R751" i="1"/>
  <c r="P751" i="1"/>
  <c r="N751" i="1"/>
  <c r="R750" i="1"/>
  <c r="P750" i="1"/>
  <c r="N750" i="1"/>
  <c r="R749" i="1"/>
  <c r="P749" i="1"/>
  <c r="R748" i="1"/>
  <c r="P748" i="1"/>
  <c r="N748" i="1"/>
  <c r="R747" i="1"/>
  <c r="P747" i="1"/>
  <c r="R746" i="1"/>
  <c r="P746" i="1"/>
  <c r="R745" i="1"/>
  <c r="P745" i="1"/>
  <c r="N745" i="1"/>
  <c r="R744" i="1"/>
  <c r="P744" i="1"/>
  <c r="R743" i="1"/>
  <c r="P743" i="1"/>
  <c r="N743" i="1"/>
  <c r="R742" i="1"/>
  <c r="P742" i="1"/>
  <c r="R741" i="1"/>
  <c r="P741" i="1"/>
  <c r="R740" i="1"/>
  <c r="P740" i="1"/>
  <c r="R739" i="1"/>
  <c r="P739" i="1"/>
  <c r="N739" i="1"/>
  <c r="R738" i="1"/>
  <c r="P738" i="1"/>
  <c r="N738" i="1"/>
  <c r="R737" i="1"/>
  <c r="P737" i="1"/>
  <c r="N737" i="1"/>
  <c r="R803" i="1"/>
  <c r="P803" i="1"/>
  <c r="N803" i="1"/>
  <c r="R712" i="1"/>
  <c r="P712" i="1"/>
  <c r="R802" i="1"/>
  <c r="P802" i="1"/>
  <c r="R801" i="1"/>
  <c r="P801" i="1"/>
  <c r="R733" i="1"/>
  <c r="P733" i="1"/>
  <c r="R732" i="1"/>
  <c r="P732" i="1"/>
  <c r="R731" i="1"/>
  <c r="P731" i="1"/>
  <c r="N731" i="1"/>
  <c r="R730" i="1"/>
  <c r="P730" i="1"/>
  <c r="R729" i="1"/>
  <c r="P729" i="1"/>
  <c r="N729" i="1"/>
  <c r="R728" i="1"/>
  <c r="P728" i="1"/>
  <c r="R727" i="1"/>
  <c r="P727" i="1"/>
  <c r="R726" i="1"/>
  <c r="P726" i="1"/>
  <c r="N726" i="1"/>
  <c r="R725" i="1"/>
  <c r="P725" i="1"/>
  <c r="N725" i="1"/>
  <c r="R792" i="1"/>
  <c r="P792" i="1"/>
  <c r="N792" i="1"/>
  <c r="R791" i="1"/>
  <c r="P791" i="1"/>
  <c r="N791" i="1"/>
  <c r="P790" i="1"/>
  <c r="N790" i="1"/>
  <c r="M790" i="1"/>
  <c r="R564" i="1"/>
  <c r="P564" i="1"/>
  <c r="R563" i="1"/>
  <c r="P563" i="1"/>
  <c r="R562" i="1"/>
  <c r="P562" i="1"/>
  <c r="N562" i="1"/>
  <c r="R561" i="1"/>
  <c r="P561" i="1"/>
  <c r="N561" i="1"/>
  <c r="R560" i="1"/>
  <c r="R541" i="1"/>
  <c r="P541" i="1"/>
  <c r="R373" i="1"/>
  <c r="P373" i="1"/>
  <c r="N373" i="1"/>
  <c r="R372" i="1"/>
  <c r="R371" i="1"/>
  <c r="P371" i="1"/>
  <c r="R370" i="1"/>
  <c r="N370" i="1"/>
  <c r="R369" i="1"/>
  <c r="R368" i="1"/>
  <c r="P368" i="1"/>
  <c r="R367" i="1"/>
  <c r="P367" i="1"/>
  <c r="N367" i="1"/>
  <c r="R366" i="1"/>
  <c r="P366" i="1"/>
  <c r="R365" i="1"/>
  <c r="P365" i="1"/>
  <c r="N365" i="1"/>
  <c r="R364" i="1"/>
  <c r="R363" i="1"/>
  <c r="R362" i="1"/>
  <c r="P362" i="1"/>
  <c r="N362" i="1"/>
  <c r="R361" i="1"/>
  <c r="P361" i="1"/>
  <c r="N361" i="1"/>
  <c r="R360" i="1"/>
  <c r="P360" i="1"/>
  <c r="N360" i="1"/>
  <c r="R359" i="1"/>
  <c r="R358" i="1"/>
  <c r="P358" i="1"/>
  <c r="R357" i="1"/>
  <c r="R356" i="1"/>
  <c r="P356" i="1"/>
  <c r="P354" i="1"/>
  <c r="N354" i="1"/>
  <c r="R353" i="1"/>
  <c r="P353" i="1"/>
  <c r="R352" i="1"/>
  <c r="P352" i="1"/>
  <c r="R351" i="1"/>
  <c r="P351" i="1"/>
  <c r="N351" i="1"/>
  <c r="N1023" i="1"/>
  <c r="N1018" i="1"/>
  <c r="N1055" i="1"/>
  <c r="N1054" i="1"/>
  <c r="N1042" i="1"/>
  <c r="P231" i="1"/>
  <c r="P992" i="1"/>
  <c r="P1018" i="1"/>
  <c r="P1015" i="1"/>
  <c r="P1012" i="1"/>
  <c r="P1011" i="1"/>
  <c r="P1066" i="1"/>
  <c r="P1056" i="1"/>
  <c r="P372" i="1"/>
  <c r="P370" i="1"/>
  <c r="R1048" i="1"/>
  <c r="R999" i="1"/>
  <c r="R1023" i="1"/>
  <c r="R1066" i="1"/>
  <c r="R1055" i="1"/>
  <c r="R1054" i="1"/>
  <c r="R957" i="1"/>
  <c r="R960" i="1"/>
  <c r="R355" i="1"/>
  <c r="R354" i="1"/>
  <c r="AK25" i="1" l="1"/>
  <c r="AK12" i="1"/>
  <c r="AK40" i="1"/>
  <c r="Y2" i="1"/>
  <c r="AK24" i="1"/>
  <c r="AK16" i="1"/>
  <c r="AI7" i="1"/>
  <c r="AK34" i="1"/>
  <c r="AK22" i="1"/>
  <c r="AK19" i="1"/>
  <c r="AK9" i="1"/>
  <c r="AK6" i="1"/>
  <c r="AK4" i="1"/>
  <c r="AK11" i="1"/>
  <c r="AK29" i="1"/>
  <c r="AI37" i="1"/>
  <c r="AI21" i="1"/>
  <c r="AK27" i="1"/>
  <c r="AK23" i="1"/>
  <c r="AK20" i="1"/>
  <c r="AK8" i="1"/>
  <c r="L7" i="1"/>
  <c r="AL2" i="1" s="1"/>
  <c r="AK2" i="1"/>
  <c r="AK3" i="1"/>
  <c r="AK42" i="1"/>
  <c r="AK35" i="1"/>
  <c r="AK30" i="1"/>
  <c r="AI41" i="1"/>
  <c r="AI10" i="1"/>
  <c r="AK39" i="1"/>
  <c r="AK32" i="1"/>
  <c r="AK28" i="1"/>
  <c r="AK18" i="1"/>
  <c r="AK17" i="1"/>
  <c r="AK31" i="1"/>
  <c r="AI38" i="1"/>
  <c r="L404" i="1"/>
  <c r="L769" i="1"/>
  <c r="L252" i="1"/>
  <c r="AL12" i="1" s="1"/>
  <c r="L363" i="1"/>
  <c r="AL16" i="1" s="1"/>
  <c r="L518" i="1"/>
  <c r="L127" i="1"/>
  <c r="AL6" i="1" s="1"/>
  <c r="L72" i="1"/>
  <c r="L189" i="1"/>
  <c r="L20" i="1"/>
  <c r="L743" i="1"/>
  <c r="AL30" i="1" s="1"/>
  <c r="K226" i="1"/>
  <c r="K121" i="1"/>
  <c r="L1044" i="1"/>
  <c r="AL42" i="1" s="1"/>
  <c r="K840" i="1"/>
  <c r="L977" i="1"/>
  <c r="L919" i="1"/>
  <c r="AL36" i="1" s="1"/>
  <c r="L824" i="1"/>
  <c r="L1011" i="1"/>
  <c r="AL40" i="1" s="1"/>
  <c r="AA112" i="1"/>
  <c r="AA284" i="1"/>
  <c r="AA15" i="1"/>
  <c r="Y1082" i="1"/>
  <c r="AA1082" i="1" s="1"/>
  <c r="Y1077" i="1"/>
  <c r="AA1077" i="1" s="1"/>
  <c r="Y1075" i="1"/>
  <c r="AA1075" i="1" s="1"/>
  <c r="Y986" i="1"/>
  <c r="AA986" i="1" s="1"/>
  <c r="Y977" i="1"/>
  <c r="Y975" i="1"/>
  <c r="AA975" i="1" s="1"/>
  <c r="Y971" i="1"/>
  <c r="Y950" i="1"/>
  <c r="AA950" i="1" s="1"/>
  <c r="Y948" i="1"/>
  <c r="Y933" i="1"/>
  <c r="Z933" i="1" s="1"/>
  <c r="Y931" i="1"/>
  <c r="Y862" i="1"/>
  <c r="Z862" i="1" s="1"/>
  <c r="Y860" i="1"/>
  <c r="Y855" i="1"/>
  <c r="Z855" i="1" s="1"/>
  <c r="Y919" i="1"/>
  <c r="Y916" i="1"/>
  <c r="Z916" i="1" s="1"/>
  <c r="Y839" i="1"/>
  <c r="Y945" i="1"/>
  <c r="AA945" i="1" s="1"/>
  <c r="Y814" i="1"/>
  <c r="AA814" i="1" s="1"/>
  <c r="Y816" i="1"/>
  <c r="AA816" i="1" s="1"/>
  <c r="Y947" i="1"/>
  <c r="AA947" i="1" s="1"/>
  <c r="Y922" i="1"/>
  <c r="AA922" i="1" s="1"/>
  <c r="Y929" i="1"/>
  <c r="Y829" i="1"/>
  <c r="Y824" i="1"/>
  <c r="Y819" i="1"/>
  <c r="Z819" i="1" s="1"/>
  <c r="Y766" i="1"/>
  <c r="AA766" i="1" s="1"/>
  <c r="Y724" i="1"/>
  <c r="Z724" i="1" s="1"/>
  <c r="Y717" i="1"/>
  <c r="Z717" i="1" s="1"/>
  <c r="Y701" i="1"/>
  <c r="Y699" i="1"/>
  <c r="Z699" i="1" s="1"/>
  <c r="Y697" i="1"/>
  <c r="Y707" i="1"/>
  <c r="AA707" i="1" s="1"/>
  <c r="Y683" i="1"/>
  <c r="Z683" i="1" s="1"/>
  <c r="Y681" i="1"/>
  <c r="AA681" i="1" s="1"/>
  <c r="Y679" i="1"/>
  <c r="Y676" i="1"/>
  <c r="Z676" i="1" s="1"/>
  <c r="Y662" i="1"/>
  <c r="Z662" i="1" s="1"/>
  <c r="Y657" i="1"/>
  <c r="Z657" i="1" s="1"/>
  <c r="Y655" i="1"/>
  <c r="Y640" i="1"/>
  <c r="AA640" i="1" s="1"/>
  <c r="Y633" i="1"/>
  <c r="AA633" i="1" s="1"/>
  <c r="Y621" i="1"/>
  <c r="AA621" i="1" s="1"/>
  <c r="Y619" i="1"/>
  <c r="AA619" i="1" s="1"/>
  <c r="Y617" i="1"/>
  <c r="AA617" i="1" s="1"/>
  <c r="Y615" i="1"/>
  <c r="Z615" i="1" s="1"/>
  <c r="Y586" i="1"/>
  <c r="Z586" i="1" s="1"/>
  <c r="Y565" i="1"/>
  <c r="AA565" i="1" s="1"/>
  <c r="Y552" i="1"/>
  <c r="Z552" i="1" s="1"/>
  <c r="Y543" i="1"/>
  <c r="Z543" i="1" s="1"/>
  <c r="Y539" i="1"/>
  <c r="AA539" i="1" s="1"/>
  <c r="Y537" i="1"/>
  <c r="Y525" i="1"/>
  <c r="Z525" i="1" s="1"/>
  <c r="Y522" i="1"/>
  <c r="Y520" i="1"/>
  <c r="Y495" i="1"/>
  <c r="Z495" i="1" s="1"/>
  <c r="Y493" i="1"/>
  <c r="Z493" i="1" s="1"/>
  <c r="Y504" i="1"/>
  <c r="AA504" i="1" s="1"/>
  <c r="Y488" i="1"/>
  <c r="Z488" i="1" s="1"/>
  <c r="Y486" i="1"/>
  <c r="Y484" i="1"/>
  <c r="Y482" i="1"/>
  <c r="Y478" i="1"/>
  <c r="Z478" i="1" s="1"/>
  <c r="Y461" i="1"/>
  <c r="Y501" i="1"/>
  <c r="AA501" i="1" s="1"/>
  <c r="Y453" i="1"/>
  <c r="Z453" i="1" s="1"/>
  <c r="Y452" i="1"/>
  <c r="Z452" i="1" s="1"/>
  <c r="Y450" i="1"/>
  <c r="AA450" i="1" s="1"/>
  <c r="Y448" i="1"/>
  <c r="Z448" i="1" s="1"/>
  <c r="Y440" i="1"/>
  <c r="Z440" i="1" s="1"/>
  <c r="Y433" i="1"/>
  <c r="Y430" i="1"/>
  <c r="Y422" i="1"/>
  <c r="Z422" i="1" s="1"/>
  <c r="Y420" i="1"/>
  <c r="Y409" i="1"/>
  <c r="Y405" i="1"/>
  <c r="K477" i="1"/>
  <c r="AA1007" i="1"/>
  <c r="AA1026" i="1"/>
  <c r="AA737" i="1"/>
  <c r="AA725" i="1"/>
  <c r="AA851" i="1"/>
  <c r="AA714" i="1"/>
  <c r="AA542" i="1"/>
  <c r="Y70" i="1"/>
  <c r="Z70" i="1" s="1"/>
  <c r="Y85" i="1"/>
  <c r="AA801" i="1"/>
  <c r="AA1043" i="1"/>
  <c r="AA843" i="1"/>
  <c r="AA876" i="1"/>
  <c r="K735" i="1"/>
  <c r="AA767" i="1"/>
  <c r="AA790" i="1"/>
  <c r="AA354" i="1"/>
  <c r="AA138" i="1"/>
  <c r="Y1087" i="1"/>
  <c r="Y1086" i="1"/>
  <c r="Y1038" i="1"/>
  <c r="Y956" i="1"/>
  <c r="Y938" i="1"/>
  <c r="Y905" i="1"/>
  <c r="AA905" i="1" s="1"/>
  <c r="Y879" i="1"/>
  <c r="Z879" i="1" s="1"/>
  <c r="Y857" i="1"/>
  <c r="Y852" i="1"/>
  <c r="Y875" i="1"/>
  <c r="Y924" i="1"/>
  <c r="AA924" i="1" s="1"/>
  <c r="Y837" i="1"/>
  <c r="AA837" i="1" s="1"/>
  <c r="Y787" i="1"/>
  <c r="Y721" i="1"/>
  <c r="Z721" i="1" s="1"/>
  <c r="Y719" i="1"/>
  <c r="Z719" i="1" s="1"/>
  <c r="Y715" i="1"/>
  <c r="Z715" i="1" s="1"/>
  <c r="Y808" i="1"/>
  <c r="Y709" i="1"/>
  <c r="Y696" i="1"/>
  <c r="AA696" i="1" s="1"/>
  <c r="Y689" i="1"/>
  <c r="AA689" i="1" s="1"/>
  <c r="Y672" i="1"/>
  <c r="Y671" i="1"/>
  <c r="Y665" i="1"/>
  <c r="Z665" i="1" s="1"/>
  <c r="Y647" i="1"/>
  <c r="Z647" i="1" s="1"/>
  <c r="Y638" i="1"/>
  <c r="Z638" i="1" s="1"/>
  <c r="Y636" i="1"/>
  <c r="AA636" i="1" s="1"/>
  <c r="Y626" i="1"/>
  <c r="Y612" i="1"/>
  <c r="Y609" i="1"/>
  <c r="Y605" i="1"/>
  <c r="Z605" i="1" s="1"/>
  <c r="Y598" i="1"/>
  <c r="Y595" i="1"/>
  <c r="Y577" i="1"/>
  <c r="Y576" i="1"/>
  <c r="Y571" i="1"/>
  <c r="Z571" i="1" s="1"/>
  <c r="Y580" i="1"/>
  <c r="Z580" i="1" s="1"/>
  <c r="Y578" i="1"/>
  <c r="Y545" i="1"/>
  <c r="Z545" i="1" s="1"/>
  <c r="Y507" i="1"/>
  <c r="Y506" i="1"/>
  <c r="AA506" i="1" s="1"/>
  <c r="Y512" i="1"/>
  <c r="Z512" i="1" s="1"/>
  <c r="Y475" i="1"/>
  <c r="Y473" i="1"/>
  <c r="Y503" i="1"/>
  <c r="AA503" i="1" s="1"/>
  <c r="Y502" i="1"/>
  <c r="Y446" i="1"/>
  <c r="Y444" i="1"/>
  <c r="AA444" i="1" s="1"/>
  <c r="Y416" i="1"/>
  <c r="Z416" i="1" s="1"/>
  <c r="Y413" i="1"/>
  <c r="Y411" i="1"/>
  <c r="Z411" i="1" s="1"/>
  <c r="Y395" i="1"/>
  <c r="AA395" i="1" s="1"/>
  <c r="Y379" i="1"/>
  <c r="Y392" i="1"/>
  <c r="Y349" i="1"/>
  <c r="Y342" i="1"/>
  <c r="Z342" i="1" s="1"/>
  <c r="Y339" i="1"/>
  <c r="Y323" i="1"/>
  <c r="Y321" i="1"/>
  <c r="AA321" i="1" s="1"/>
  <c r="Y319" i="1"/>
  <c r="Y316" i="1"/>
  <c r="AA316" i="1" s="1"/>
  <c r="Y311" i="1"/>
  <c r="Y314" i="1"/>
  <c r="Y309" i="1"/>
  <c r="Z309" i="1" s="1"/>
  <c r="Y305" i="1"/>
  <c r="AA305" i="1" s="1"/>
  <c r="Y307" i="1"/>
  <c r="Y262" i="1"/>
  <c r="Y295" i="1"/>
  <c r="Z295" i="1" s="1"/>
  <c r="Y282" i="1"/>
  <c r="Y277" i="1"/>
  <c r="Y273" i="1"/>
  <c r="Y176" i="1"/>
  <c r="AA176" i="1" s="1"/>
  <c r="Y224" i="1"/>
  <c r="Z224" i="1" s="1"/>
  <c r="Y222" i="1"/>
  <c r="Y220" i="1"/>
  <c r="Z220" i="1" s="1"/>
  <c r="Y217" i="1"/>
  <c r="Z217" i="1" s="1"/>
  <c r="Y215" i="1"/>
  <c r="Y213" i="1"/>
  <c r="AA213" i="1" s="1"/>
  <c r="Y211" i="1"/>
  <c r="Y209" i="1"/>
  <c r="Y204" i="1"/>
  <c r="Y202" i="1"/>
  <c r="AA202" i="1" s="1"/>
  <c r="Y200" i="1"/>
  <c r="Z200" i="1" s="1"/>
  <c r="Y260" i="1"/>
  <c r="Y194" i="1"/>
  <c r="AA194" i="1" s="1"/>
  <c r="Y189" i="1"/>
  <c r="Y179" i="1"/>
  <c r="Y175" i="1"/>
  <c r="Y256" i="1"/>
  <c r="Y252" i="1"/>
  <c r="Y159" i="1"/>
  <c r="Y158" i="1"/>
  <c r="AA158" i="1" s="1"/>
  <c r="Y125" i="1"/>
  <c r="Y123" i="1"/>
  <c r="Y121" i="1"/>
  <c r="Y116" i="1"/>
  <c r="AA116" i="1" s="1"/>
  <c r="Y128" i="1"/>
  <c r="Y148" i="1"/>
  <c r="Y145" i="1"/>
  <c r="Y114" i="1"/>
  <c r="Z114" i="1" s="1"/>
  <c r="Y113" i="1"/>
  <c r="AA113" i="1" s="1"/>
  <c r="Y101" i="1"/>
  <c r="Y99" i="1"/>
  <c r="Z99" i="1" s="1"/>
  <c r="Y89" i="1"/>
  <c r="Y71" i="1"/>
  <c r="Y86" i="1"/>
  <c r="Z86" i="1" s="1"/>
  <c r="Y84" i="1"/>
  <c r="AA84" i="1" s="1"/>
  <c r="Y82" i="1"/>
  <c r="Y60" i="1"/>
  <c r="Z60" i="1" s="1"/>
  <c r="Y53" i="1"/>
  <c r="Y51" i="1"/>
  <c r="Y49" i="1"/>
  <c r="Y47" i="1"/>
  <c r="Z47" i="1" s="1"/>
  <c r="Y41" i="1"/>
  <c r="Y39" i="1"/>
  <c r="Y37" i="1"/>
  <c r="Z37" i="1" s="1"/>
  <c r="Y35" i="1"/>
  <c r="Y15" i="1"/>
  <c r="Z15" i="1" s="1"/>
  <c r="Y9" i="1"/>
  <c r="Z9" i="1" s="1"/>
  <c r="AA990" i="1"/>
  <c r="Y1094" i="1"/>
  <c r="Y1090" i="1"/>
  <c r="Y1084" i="1"/>
  <c r="Y1078" i="1"/>
  <c r="Y1036" i="1"/>
  <c r="Y1035" i="1"/>
  <c r="AA1035" i="1" s="1"/>
  <c r="Y955" i="1"/>
  <c r="AA955" i="1" s="1"/>
  <c r="Y870" i="1"/>
  <c r="AA870" i="1" s="1"/>
  <c r="Y885" i="1"/>
  <c r="Z885" i="1" s="1"/>
  <c r="Y877" i="1"/>
  <c r="AA877" i="1" s="1"/>
  <c r="Y849" i="1"/>
  <c r="AA849" i="1" s="1"/>
  <c r="Y835" i="1"/>
  <c r="AA835" i="1" s="1"/>
  <c r="Y925" i="1"/>
  <c r="Y831" i="1"/>
  <c r="AA831" i="1" s="1"/>
  <c r="Y817" i="1"/>
  <c r="Y789" i="1"/>
  <c r="AA789" i="1" s="1"/>
  <c r="Y763" i="1"/>
  <c r="Y691" i="1"/>
  <c r="AA691" i="1" s="1"/>
  <c r="Y670" i="1"/>
  <c r="Y645" i="1"/>
  <c r="Y628" i="1"/>
  <c r="Y624" i="1"/>
  <c r="Y551" i="1"/>
  <c r="AA551" i="1" s="1"/>
  <c r="Y549" i="1"/>
  <c r="Y524" i="1"/>
  <c r="Y497" i="1"/>
  <c r="Y437" i="1"/>
  <c r="Z437" i="1" s="1"/>
  <c r="Y425" i="1"/>
  <c r="Z425" i="1" s="1"/>
  <c r="Y407" i="1"/>
  <c r="Y402" i="1"/>
  <c r="AA402" i="1" s="1"/>
  <c r="Y398" i="1"/>
  <c r="AA398" i="1" s="1"/>
  <c r="Y376" i="1"/>
  <c r="AA376" i="1" s="1"/>
  <c r="Y374" i="1"/>
  <c r="Y389" i="1"/>
  <c r="Y384" i="1"/>
  <c r="Y346" i="1"/>
  <c r="AA346" i="1" s="1"/>
  <c r="Y345" i="1"/>
  <c r="Y337" i="1"/>
  <c r="Z337" i="1" s="1"/>
  <c r="Y335" i="1"/>
  <c r="Z335" i="1" s="1"/>
  <c r="Y332" i="1"/>
  <c r="Z332" i="1" s="1"/>
  <c r="Y328" i="1"/>
  <c r="Y343" i="1"/>
  <c r="Y293" i="1"/>
  <c r="Z293" i="1" s="1"/>
  <c r="Y289" i="1"/>
  <c r="Y286" i="1"/>
  <c r="Y284" i="1"/>
  <c r="Z284" i="1" s="1"/>
  <c r="Y303" i="1"/>
  <c r="AA303" i="1" s="1"/>
  <c r="Y298" i="1"/>
  <c r="AA298" i="1" s="1"/>
  <c r="Y297" i="1"/>
  <c r="AA297" i="1" s="1"/>
  <c r="Y280" i="1"/>
  <c r="Z280" i="1" s="1"/>
  <c r="Y270" i="1"/>
  <c r="Z270" i="1" s="1"/>
  <c r="Y267" i="1"/>
  <c r="Z267" i="1" s="1"/>
  <c r="Y308" i="1"/>
  <c r="AA308" i="1" s="1"/>
  <c r="Y264" i="1"/>
  <c r="AA264" i="1" s="1"/>
  <c r="Y239" i="1"/>
  <c r="AA239" i="1" s="1"/>
  <c r="Y207" i="1"/>
  <c r="Y258" i="1"/>
  <c r="Y197" i="1"/>
  <c r="Y192" i="1"/>
  <c r="Y187" i="1"/>
  <c r="AA187" i="1" s="1"/>
  <c r="Y184" i="1"/>
  <c r="Y183" i="1"/>
  <c r="AA183" i="1" s="1"/>
  <c r="Y172" i="1"/>
  <c r="AA172" i="1" s="1"/>
  <c r="Y168" i="1"/>
  <c r="AA168" i="1" s="1"/>
  <c r="Y163" i="1"/>
  <c r="Y157" i="1"/>
  <c r="Y152" i="1"/>
  <c r="Y134" i="1"/>
  <c r="Z134" i="1" s="1"/>
  <c r="Y132" i="1"/>
  <c r="Y130" i="1"/>
  <c r="Z130" i="1" s="1"/>
  <c r="Y142" i="1"/>
  <c r="Y140" i="1"/>
  <c r="Z140" i="1" s="1"/>
  <c r="Y138" i="1"/>
  <c r="Z138" i="1" s="1"/>
  <c r="Y109" i="1"/>
  <c r="Z109" i="1" s="1"/>
  <c r="Y106" i="1"/>
  <c r="AA106" i="1" s="1"/>
  <c r="Y104" i="1"/>
  <c r="Z104" i="1" s="1"/>
  <c r="Y96" i="1"/>
  <c r="AA96" i="1" s="1"/>
  <c r="Y94" i="1"/>
  <c r="Z94" i="1" s="1"/>
  <c r="Y92" i="1"/>
  <c r="AA92" i="1" s="1"/>
  <c r="Y79" i="1"/>
  <c r="AA79" i="1" s="1"/>
  <c r="Y77" i="1"/>
  <c r="Y75" i="1"/>
  <c r="Z75" i="1" s="1"/>
  <c r="Y73" i="1"/>
  <c r="Y68" i="1"/>
  <c r="Z68" i="1" s="1"/>
  <c r="Y66" i="1"/>
  <c r="Z66" i="1" s="1"/>
  <c r="Y64" i="1"/>
  <c r="AA64" i="1" s="1"/>
  <c r="Y14" i="1"/>
  <c r="AA14" i="1" s="1"/>
  <c r="Y62" i="1"/>
  <c r="Z62" i="1" s="1"/>
  <c r="Y57" i="1"/>
  <c r="Z57" i="1" s="1"/>
  <c r="Y44" i="1"/>
  <c r="AA44" i="1" s="1"/>
  <c r="Y32" i="1"/>
  <c r="Z32" i="1" s="1"/>
  <c r="Y30" i="1"/>
  <c r="Z30" i="1" s="1"/>
  <c r="Y28" i="1"/>
  <c r="Z28" i="1" s="1"/>
  <c r="Y26" i="1"/>
  <c r="Y24" i="1"/>
  <c r="AA24" i="1" s="1"/>
  <c r="Y22" i="1"/>
  <c r="AA22" i="1" s="1"/>
  <c r="Y20" i="1"/>
  <c r="Y18" i="1"/>
  <c r="AA18" i="1" s="1"/>
  <c r="Y7" i="1"/>
  <c r="Y4" i="1"/>
  <c r="AA4" i="1" s="1"/>
  <c r="AA838" i="1"/>
  <c r="AA786" i="1"/>
  <c r="Y324" i="1"/>
  <c r="AA324" i="1" s="1"/>
  <c r="Y87" i="1"/>
  <c r="Z87" i="1" s="1"/>
  <c r="Y83" i="1"/>
  <c r="Z83" i="1" s="1"/>
  <c r="Y81" i="1"/>
  <c r="Z81" i="1" s="1"/>
  <c r="Y59" i="1"/>
  <c r="Y54" i="1"/>
  <c r="AA971" i="1"/>
  <c r="AA1073" i="1"/>
  <c r="AA983" i="1"/>
  <c r="AA788" i="1"/>
  <c r="AA804" i="1"/>
  <c r="AA711" i="1"/>
  <c r="AA708" i="1"/>
  <c r="AA602" i="1"/>
  <c r="AA593" i="1"/>
  <c r="AA394" i="1"/>
  <c r="AA382" i="1"/>
  <c r="AA34" i="1"/>
  <c r="AA643" i="1"/>
  <c r="AA642" i="1"/>
  <c r="AA601" i="1"/>
  <c r="AA608" i="1"/>
  <c r="AA585" i="1"/>
  <c r="AA391" i="1"/>
  <c r="AA154" i="1"/>
  <c r="AA118" i="1"/>
  <c r="AA88" i="1"/>
  <c r="AA815" i="1"/>
  <c r="AA805" i="1"/>
  <c r="AA705" i="1"/>
  <c r="AA607" i="1"/>
  <c r="AA531" i="1"/>
  <c r="AA447" i="1"/>
  <c r="AA635" i="1"/>
  <c r="AA603" i="1"/>
  <c r="AA594" i="1"/>
  <c r="AA582" i="1"/>
  <c r="AA566" i="1"/>
  <c r="AA393" i="1"/>
  <c r="AA164" i="1"/>
  <c r="Y1093" i="1"/>
  <c r="Z1093" i="1" s="1"/>
  <c r="Y1091" i="1"/>
  <c r="Y1083" i="1"/>
  <c r="Y1081" i="1"/>
  <c r="Y1076" i="1"/>
  <c r="Y1074" i="1"/>
  <c r="Y1072" i="1"/>
  <c r="AA1072" i="1" s="1"/>
  <c r="Y1041" i="1"/>
  <c r="Y995" i="1"/>
  <c r="Y1004" i="1"/>
  <c r="Z1004" i="1" s="1"/>
  <c r="Y1001" i="1"/>
  <c r="AA1001" i="1" s="1"/>
  <c r="Y1000" i="1"/>
  <c r="AA1000" i="1" s="1"/>
  <c r="Y987" i="1"/>
  <c r="Y984" i="1"/>
  <c r="Y978" i="1"/>
  <c r="Z978" i="1" s="1"/>
  <c r="Y976" i="1"/>
  <c r="AA976" i="1" s="1"/>
  <c r="Y972" i="1"/>
  <c r="AA972" i="1" s="1"/>
  <c r="Y954" i="1"/>
  <c r="AA954" i="1" s="1"/>
  <c r="Y952" i="1"/>
  <c r="Y949" i="1"/>
  <c r="AA949" i="1" s="1"/>
  <c r="Y937" i="1"/>
  <c r="Z937" i="1" s="1"/>
  <c r="Y934" i="1"/>
  <c r="Z934" i="1" s="1"/>
  <c r="Y932" i="1"/>
  <c r="Y930" i="1"/>
  <c r="Z930" i="1" s="1"/>
  <c r="Y904" i="1"/>
  <c r="Y1080" i="1"/>
  <c r="Y1039" i="1"/>
  <c r="AA1039" i="1" s="1"/>
  <c r="Y1005" i="1"/>
  <c r="Y1002" i="1"/>
  <c r="Y991" i="1"/>
  <c r="AA991" i="1" s="1"/>
  <c r="Y973" i="1"/>
  <c r="AA973" i="1" s="1"/>
  <c r="Y951" i="1"/>
  <c r="Z951" i="1" s="1"/>
  <c r="Y868" i="1"/>
  <c r="AA868" i="1" s="1"/>
  <c r="Y888" i="1"/>
  <c r="AA888" i="1" s="1"/>
  <c r="Y884" i="1"/>
  <c r="Y1092" i="1"/>
  <c r="Y1088" i="1"/>
  <c r="AA1088" i="1" s="1"/>
  <c r="Y1071" i="1"/>
  <c r="AA1071" i="1" s="1"/>
  <c r="Y1085" i="1"/>
  <c r="Y1079" i="1"/>
  <c r="Y1040" i="1"/>
  <c r="AA1040" i="1" s="1"/>
  <c r="Y994" i="1"/>
  <c r="AA994" i="1" s="1"/>
  <c r="Y1003" i="1"/>
  <c r="Y982" i="1"/>
  <c r="AA982" i="1" s="1"/>
  <c r="Y953" i="1"/>
  <c r="AA953" i="1" s="1"/>
  <c r="Y939" i="1"/>
  <c r="Z939" i="1" s="1"/>
  <c r="Y906" i="1"/>
  <c r="Y848" i="1"/>
  <c r="AA848" i="1" s="1"/>
  <c r="Y886" i="1"/>
  <c r="Z886" i="1" s="1"/>
  <c r="Y880" i="1"/>
  <c r="AA880" i="1" s="1"/>
  <c r="Y864" i="1"/>
  <c r="Y850" i="1"/>
  <c r="AA850" i="1" s="1"/>
  <c r="Y858" i="1"/>
  <c r="Y853" i="1"/>
  <c r="Z853" i="1" s="1"/>
  <c r="Y851" i="1"/>
  <c r="Y873" i="1"/>
  <c r="Z873" i="1" s="1"/>
  <c r="Y872" i="1"/>
  <c r="Y910" i="1"/>
  <c r="Y923" i="1"/>
  <c r="Y841" i="1"/>
  <c r="AA841" i="1" s="1"/>
  <c r="Y928" i="1"/>
  <c r="AA928" i="1" s="1"/>
  <c r="Y833" i="1"/>
  <c r="Y832" i="1"/>
  <c r="AA832" i="1" s="1"/>
  <c r="Y800" i="1"/>
  <c r="Y806" i="1"/>
  <c r="AA806" i="1" s="1"/>
  <c r="Y764" i="1"/>
  <c r="AA764" i="1" s="1"/>
  <c r="Y722" i="1"/>
  <c r="AA722" i="1" s="1"/>
  <c r="Y720" i="1"/>
  <c r="Z720" i="1" s="1"/>
  <c r="Y809" i="1"/>
  <c r="AA809" i="1" s="1"/>
  <c r="Y710" i="1"/>
  <c r="AA710" i="1" s="1"/>
  <c r="Y706" i="1"/>
  <c r="AA706" i="1" s="1"/>
  <c r="Y673" i="1"/>
  <c r="AA673" i="1" s="1"/>
  <c r="Y690" i="1"/>
  <c r="AA690" i="1" s="1"/>
  <c r="Y687" i="1"/>
  <c r="AA687" i="1" s="1"/>
  <c r="Y686" i="1"/>
  <c r="AA686" i="1" s="1"/>
  <c r="Y674" i="1"/>
  <c r="AA674" i="1" s="1"/>
  <c r="Y666" i="1"/>
  <c r="Z666" i="1" s="1"/>
  <c r="Y664" i="1"/>
  <c r="Z664" i="1" s="1"/>
  <c r="Y651" i="1"/>
  <c r="Z651" i="1" s="1"/>
  <c r="Y648" i="1"/>
  <c r="Z648" i="1" s="1"/>
  <c r="Y646" i="1"/>
  <c r="Y644" i="1"/>
  <c r="AA644" i="1" s="1"/>
  <c r="Y637" i="1"/>
  <c r="AA637" i="1" s="1"/>
  <c r="Y629" i="1"/>
  <c r="AA629" i="1" s="1"/>
  <c r="Y625" i="1"/>
  <c r="Y610" i="1"/>
  <c r="AA610" i="1" s="1"/>
  <c r="Y613" i="1"/>
  <c r="Y616" i="1"/>
  <c r="Y606" i="1"/>
  <c r="Z606" i="1" s="1"/>
  <c r="Y588" i="1"/>
  <c r="Z588" i="1" s="1"/>
  <c r="Y568" i="1"/>
  <c r="Y569" i="1"/>
  <c r="Y572" i="1"/>
  <c r="Y570" i="1"/>
  <c r="AA570" i="1" s="1"/>
  <c r="Y579" i="1"/>
  <c r="Z579" i="1" s="1"/>
  <c r="Y555" i="1"/>
  <c r="AA555" i="1" s="1"/>
  <c r="Y558" i="1"/>
  <c r="Z558" i="1" s="1"/>
  <c r="Y554" i="1"/>
  <c r="AA554" i="1" s="1"/>
  <c r="Y546" i="1"/>
  <c r="Y540" i="1"/>
  <c r="AA540" i="1" s="1"/>
  <c r="Y513" i="1"/>
  <c r="AA513" i="1" s="1"/>
  <c r="Y511" i="1"/>
  <c r="Z511" i="1" s="1"/>
  <c r="Y535" i="1"/>
  <c r="Y529" i="1"/>
  <c r="Z529" i="1" s="1"/>
  <c r="Y527" i="1"/>
  <c r="Y498" i="1"/>
  <c r="AA498" i="1" s="1"/>
  <c r="Y476" i="1"/>
  <c r="Y474" i="1"/>
  <c r="Y470" i="1"/>
  <c r="Z470" i="1" s="1"/>
  <c r="Y469" i="1"/>
  <c r="Z469" i="1" s="1"/>
  <c r="Y468" i="1"/>
  <c r="Y458" i="1"/>
  <c r="AA458" i="1" s="1"/>
  <c r="Y445" i="1"/>
  <c r="Y443" i="1"/>
  <c r="AA443" i="1" s="1"/>
  <c r="Y438" i="1"/>
  <c r="Y428" i="1"/>
  <c r="Z428" i="1" s="1"/>
  <c r="Y426" i="1"/>
  <c r="Y417" i="1"/>
  <c r="Z417" i="1" s="1"/>
  <c r="Y414" i="1"/>
  <c r="Z414" i="1" s="1"/>
  <c r="Y412" i="1"/>
  <c r="Y403" i="1"/>
  <c r="AA403" i="1" s="1"/>
  <c r="Y399" i="1"/>
  <c r="AA399" i="1" s="1"/>
  <c r="Y396" i="1"/>
  <c r="Y380" i="1"/>
  <c r="AA380" i="1" s="1"/>
  <c r="Y386" i="1"/>
  <c r="AA386" i="1" s="1"/>
  <c r="Y350" i="1"/>
  <c r="AA350" i="1" s="1"/>
  <c r="Y348" i="1"/>
  <c r="Y340" i="1"/>
  <c r="Z340" i="1" s="1"/>
  <c r="Y333" i="1"/>
  <c r="Z333" i="1" s="1"/>
  <c r="Y329" i="1"/>
  <c r="AA329" i="1" s="1"/>
  <c r="Y326" i="1"/>
  <c r="AA326" i="1" s="1"/>
  <c r="Y322" i="1"/>
  <c r="AA322" i="1" s="1"/>
  <c r="Y320" i="1"/>
  <c r="Z320" i="1" s="1"/>
  <c r="Y317" i="1"/>
  <c r="AA317" i="1" s="1"/>
  <c r="Y312" i="1"/>
  <c r="Y310" i="1"/>
  <c r="AA310" i="1" s="1"/>
  <c r="Y313" i="1"/>
  <c r="Y315" i="1"/>
  <c r="Y306" i="1"/>
  <c r="Y261" i="1"/>
  <c r="AA261" i="1" s="1"/>
  <c r="Y296" i="1"/>
  <c r="Z296" i="1" s="1"/>
  <c r="Y294" i="1"/>
  <c r="AA294" i="1" s="1"/>
  <c r="Y290" i="1"/>
  <c r="Y301" i="1"/>
  <c r="AA301" i="1" s="1"/>
  <c r="Y300" i="1"/>
  <c r="Y299" i="1"/>
  <c r="AA299" i="1" s="1"/>
  <c r="Y278" i="1"/>
  <c r="AA278" i="1" s="1"/>
  <c r="Y276" i="1"/>
  <c r="Z276" i="1" s="1"/>
  <c r="Y274" i="1"/>
  <c r="Y271" i="1"/>
  <c r="Z271" i="1" s="1"/>
  <c r="Y265" i="1"/>
  <c r="AA265" i="1" s="1"/>
  <c r="Y257" i="1"/>
  <c r="AA257" i="1" s="1"/>
  <c r="Y225" i="1"/>
  <c r="Y223" i="1"/>
  <c r="Z223" i="1" s="1"/>
  <c r="Y221" i="1"/>
  <c r="Y218" i="1"/>
  <c r="Y216" i="1"/>
  <c r="AA216" i="1" s="1"/>
  <c r="Y214" i="1"/>
  <c r="Z214" i="1" s="1"/>
  <c r="Y212" i="1"/>
  <c r="AA212" i="1" s="1"/>
  <c r="Y210" i="1"/>
  <c r="Z210" i="1" s="1"/>
  <c r="Y208" i="1"/>
  <c r="Y205" i="1"/>
  <c r="Z205" i="1" s="1"/>
  <c r="Y203" i="1"/>
  <c r="Y201" i="1"/>
  <c r="Y199" i="1"/>
  <c r="Z199" i="1" s="1"/>
  <c r="Y195" i="1"/>
  <c r="Z195" i="1" s="1"/>
  <c r="Y190" i="1"/>
  <c r="Z190" i="1" s="1"/>
  <c r="Y180" i="1"/>
  <c r="AA180" i="1" s="1"/>
  <c r="Y177" i="1"/>
  <c r="AA177" i="1" s="1"/>
  <c r="Y174" i="1"/>
  <c r="Z174" i="1" s="1"/>
  <c r="Y170" i="1"/>
  <c r="Y255" i="1"/>
  <c r="Z255" i="1" s="1"/>
  <c r="Y253" i="1"/>
  <c r="Y250" i="1"/>
  <c r="AA250" i="1" s="1"/>
  <c r="Y166" i="1"/>
  <c r="AA166" i="1" s="1"/>
  <c r="Y165" i="1"/>
  <c r="AA165" i="1" s="1"/>
  <c r="Y162" i="1"/>
  <c r="Y149" i="1"/>
  <c r="AA149" i="1" s="1"/>
  <c r="Y153" i="1"/>
  <c r="Y150" i="1"/>
  <c r="Y124" i="1"/>
  <c r="Y122" i="1"/>
  <c r="Z122" i="1" s="1"/>
  <c r="Y120" i="1"/>
  <c r="Y117" i="1"/>
  <c r="Y127" i="1"/>
  <c r="Y141" i="1"/>
  <c r="Z141" i="1" s="1"/>
  <c r="Y136" i="1"/>
  <c r="Y111" i="1"/>
  <c r="AA111" i="1" s="1"/>
  <c r="Y102" i="1"/>
  <c r="Z102" i="1" s="1"/>
  <c r="Y100" i="1"/>
  <c r="AA100" i="1" s="1"/>
  <c r="Y98" i="1"/>
  <c r="Y90" i="1"/>
  <c r="AA90" i="1" s="1"/>
  <c r="Y52" i="1"/>
  <c r="Y50" i="1"/>
  <c r="Y48" i="1"/>
  <c r="Z48" i="1" s="1"/>
  <c r="Y46" i="1"/>
  <c r="Z46" i="1" s="1"/>
  <c r="Y42" i="1"/>
  <c r="Y40" i="1"/>
  <c r="Z40" i="1" s="1"/>
  <c r="Y38" i="1"/>
  <c r="AA38" i="1" s="1"/>
  <c r="Y36" i="1"/>
  <c r="Y16" i="1"/>
  <c r="Z16" i="1" s="1"/>
  <c r="Y10" i="1"/>
  <c r="Z10" i="1" s="1"/>
  <c r="Y8" i="1"/>
  <c r="Y5" i="1"/>
  <c r="Z5" i="1" s="1"/>
  <c r="Y871" i="1"/>
  <c r="AA871" i="1" s="1"/>
  <c r="Y842" i="1"/>
  <c r="AA842" i="1" s="1"/>
  <c r="Y887" i="1"/>
  <c r="AA887" i="1" s="1"/>
  <c r="Y883" i="1"/>
  <c r="Y882" i="1"/>
  <c r="AA882" i="1" s="1"/>
  <c r="Y881" i="1"/>
  <c r="Z881" i="1" s="1"/>
  <c r="Y876" i="1"/>
  <c r="Y865" i="1"/>
  <c r="Z865" i="1" s="1"/>
  <c r="Y863" i="1"/>
  <c r="Y861" i="1"/>
  <c r="Z861" i="1" s="1"/>
  <c r="Y856" i="1"/>
  <c r="Z856" i="1" s="1"/>
  <c r="Y854" i="1"/>
  <c r="Z854" i="1" s="1"/>
  <c r="Y874" i="1"/>
  <c r="Z874" i="1" s="1"/>
  <c r="Y911" i="1"/>
  <c r="AA911" i="1" s="1"/>
  <c r="Y917" i="1"/>
  <c r="AA917" i="1" s="1"/>
  <c r="Y907" i="1"/>
  <c r="Z907" i="1" s="1"/>
  <c r="Y908" i="1"/>
  <c r="AA908" i="1" s="1"/>
  <c r="Y921" i="1"/>
  <c r="AA921" i="1" s="1"/>
  <c r="Y813" i="1"/>
  <c r="AA813" i="1" s="1"/>
  <c r="Y812" i="1"/>
  <c r="AA812" i="1" s="1"/>
  <c r="Y840" i="1"/>
  <c r="Y811" i="1"/>
  <c r="Y926" i="1"/>
  <c r="Y834" i="1"/>
  <c r="AA834" i="1" s="1"/>
  <c r="Y830" i="1"/>
  <c r="Z830" i="1" s="1"/>
  <c r="Y825" i="1"/>
  <c r="Y823" i="1"/>
  <c r="Z823" i="1" s="1"/>
  <c r="Y820" i="1"/>
  <c r="Z820" i="1" s="1"/>
  <c r="Y734" i="1"/>
  <c r="Y762" i="1"/>
  <c r="Y761" i="1"/>
  <c r="Y713" i="1"/>
  <c r="AA713" i="1" s="1"/>
  <c r="Y718" i="1"/>
  <c r="Y807" i="1"/>
  <c r="AA807" i="1" s="1"/>
  <c r="Y702" i="1"/>
  <c r="Y700" i="1"/>
  <c r="Z700" i="1" s="1"/>
  <c r="Y698" i="1"/>
  <c r="Y684" i="1"/>
  <c r="Y682" i="1"/>
  <c r="Y692" i="1"/>
  <c r="AA692" i="1" s="1"/>
  <c r="Y677" i="1"/>
  <c r="AA677" i="1" s="1"/>
  <c r="Y668" i="1"/>
  <c r="AA668" i="1" s="1"/>
  <c r="Y658" i="1"/>
  <c r="Y656" i="1"/>
  <c r="Y653" i="1"/>
  <c r="Y634" i="1"/>
  <c r="Y630" i="1"/>
  <c r="Y623" i="1"/>
  <c r="AA623" i="1" s="1"/>
  <c r="Y620" i="1"/>
  <c r="AA620" i="1" s="1"/>
  <c r="Y618" i="1"/>
  <c r="AA618" i="1" s="1"/>
  <c r="Y611" i="1"/>
  <c r="Y581" i="1"/>
  <c r="AA581" i="1" s="1"/>
  <c r="Y567" i="1"/>
  <c r="AA567" i="1" s="1"/>
  <c r="Y574" i="1"/>
  <c r="Y548" i="1"/>
  <c r="Y544" i="1"/>
  <c r="Z544" i="1" s="1"/>
  <c r="Y505" i="1"/>
  <c r="AA505" i="1" s="1"/>
  <c r="Y514" i="1"/>
  <c r="Y508" i="1"/>
  <c r="AA508" i="1" s="1"/>
  <c r="Y538" i="1"/>
  <c r="AA538" i="1" s="1"/>
  <c r="Y523" i="1"/>
  <c r="Y521" i="1"/>
  <c r="Y519" i="1"/>
  <c r="Y517" i="1"/>
  <c r="AA517" i="1" s="1"/>
  <c r="Y499" i="1"/>
  <c r="Z499" i="1" s="1"/>
  <c r="Y496" i="1"/>
  <c r="Z496" i="1" s="1"/>
  <c r="Y494" i="1"/>
  <c r="Y492" i="1"/>
  <c r="Z492" i="1" s="1"/>
  <c r="Y490" i="1"/>
  <c r="Z490" i="1" s="1"/>
  <c r="Y489" i="1"/>
  <c r="Z489" i="1" s="1"/>
  <c r="Y487" i="1"/>
  <c r="Y485" i="1"/>
  <c r="Y483" i="1"/>
  <c r="AA483" i="1" s="1"/>
  <c r="Y479" i="1"/>
  <c r="Z479" i="1" s="1"/>
  <c r="Y477" i="1"/>
  <c r="Y465" i="1"/>
  <c r="Z465" i="1" s="1"/>
  <c r="Y462" i="1"/>
  <c r="Y460" i="1"/>
  <c r="Y459" i="1"/>
  <c r="Y454" i="1"/>
  <c r="Z454" i="1" s="1"/>
  <c r="Y457" i="1"/>
  <c r="AA457" i="1" s="1"/>
  <c r="Y451" i="1"/>
  <c r="Y449" i="1"/>
  <c r="Y441" i="1"/>
  <c r="Z441" i="1" s="1"/>
  <c r="Y439" i="1"/>
  <c r="Y434" i="1"/>
  <c r="Y431" i="1"/>
  <c r="Z431" i="1" s="1"/>
  <c r="Y429" i="1"/>
  <c r="Y421" i="1"/>
  <c r="Z421" i="1" s="1"/>
  <c r="Y419" i="1"/>
  <c r="Z419" i="1" s="1"/>
  <c r="Y415" i="1"/>
  <c r="Y410" i="1"/>
  <c r="Y406" i="1"/>
  <c r="Z406" i="1" s="1"/>
  <c r="Y400" i="1"/>
  <c r="AA400" i="1" s="1"/>
  <c r="Y377" i="1"/>
  <c r="Y375" i="1"/>
  <c r="Z375" i="1" s="1"/>
  <c r="Y390" i="1"/>
  <c r="Y388" i="1"/>
  <c r="Z388" i="1" s="1"/>
  <c r="Y383" i="1"/>
  <c r="Y347" i="1"/>
  <c r="AA347" i="1" s="1"/>
  <c r="Y341" i="1"/>
  <c r="Y338" i="1"/>
  <c r="AA338" i="1" s="1"/>
  <c r="Y336" i="1"/>
  <c r="Y331" i="1"/>
  <c r="Z331" i="1" s="1"/>
  <c r="Y327" i="1"/>
  <c r="Z327" i="1" s="1"/>
  <c r="Y318" i="1"/>
  <c r="AA318" i="1" s="1"/>
  <c r="Y291" i="1"/>
  <c r="Z291" i="1" s="1"/>
  <c r="Y287" i="1"/>
  <c r="AA287" i="1" s="1"/>
  <c r="Y285" i="1"/>
  <c r="Y304" i="1"/>
  <c r="Z304" i="1" s="1"/>
  <c r="Y302" i="1"/>
  <c r="Y281" i="1"/>
  <c r="Z281" i="1" s="1"/>
  <c r="Y279" i="1"/>
  <c r="Z279" i="1" s="1"/>
  <c r="Y272" i="1"/>
  <c r="AA272" i="1" s="1"/>
  <c r="Y268" i="1"/>
  <c r="Y266" i="1"/>
  <c r="AA266" i="1" s="1"/>
  <c r="Y240" i="1"/>
  <c r="AA240" i="1" s="1"/>
  <c r="Y219" i="1"/>
  <c r="AA219" i="1" s="1"/>
  <c r="Y206" i="1"/>
  <c r="Z206" i="1" s="1"/>
  <c r="Y259" i="1"/>
  <c r="AA259" i="1" s="1"/>
  <c r="Y198" i="1"/>
  <c r="AA198" i="1" s="1"/>
  <c r="Y196" i="1"/>
  <c r="Y193" i="1"/>
  <c r="AA193" i="1" s="1"/>
  <c r="Y188" i="1"/>
  <c r="AA188" i="1" s="1"/>
  <c r="Y185" i="1"/>
  <c r="AA185" i="1" s="1"/>
  <c r="Y181" i="1"/>
  <c r="AA181" i="1" s="1"/>
  <c r="Y178" i="1"/>
  <c r="AA178" i="1" s="1"/>
  <c r="Y171" i="1"/>
  <c r="Z171" i="1" s="1"/>
  <c r="Y251" i="1"/>
  <c r="Z251" i="1" s="1"/>
  <c r="Y160" i="1"/>
  <c r="AA160" i="1" s="1"/>
  <c r="Y126" i="1"/>
  <c r="AA126" i="1" s="1"/>
  <c r="Y133" i="1"/>
  <c r="Z133" i="1" s="1"/>
  <c r="Y131" i="1"/>
  <c r="Y143" i="1"/>
  <c r="Y137" i="1"/>
  <c r="Y139" i="1"/>
  <c r="Z139" i="1" s="1"/>
  <c r="Y108" i="1"/>
  <c r="Y107" i="1"/>
  <c r="AA107" i="1" s="1"/>
  <c r="Y105" i="1"/>
  <c r="Y103" i="1"/>
  <c r="Y95" i="1"/>
  <c r="Y93" i="1"/>
  <c r="Y91" i="1"/>
  <c r="Y80" i="1"/>
  <c r="Z80" i="1" s="1"/>
  <c r="Y78" i="1"/>
  <c r="Y76" i="1"/>
  <c r="Y74" i="1"/>
  <c r="Y67" i="1"/>
  <c r="Z67" i="1" s="1"/>
  <c r="Y65" i="1"/>
  <c r="AA65" i="1" s="1"/>
  <c r="Y63" i="1"/>
  <c r="AA63" i="1" s="1"/>
  <c r="Y13" i="1"/>
  <c r="Y56" i="1"/>
  <c r="Z56" i="1" s="1"/>
  <c r="Y43" i="1"/>
  <c r="Y33" i="1"/>
  <c r="Y31" i="1"/>
  <c r="Z31" i="1" s="1"/>
  <c r="Y29" i="1"/>
  <c r="Z29" i="1" s="1"/>
  <c r="Y27" i="1"/>
  <c r="Y25" i="1"/>
  <c r="Y23" i="1"/>
  <c r="Y21" i="1"/>
  <c r="Z21" i="1" s="1"/>
  <c r="Y19" i="1"/>
  <c r="Y12" i="1"/>
  <c r="Z247" i="1"/>
  <c r="Z227" i="1"/>
  <c r="Z236" i="1"/>
  <c r="Z232" i="1"/>
  <c r="Z229" i="1"/>
  <c r="Z1025" i="1"/>
  <c r="Z1046" i="1"/>
  <c r="Z1022" i="1"/>
  <c r="Z1018" i="1"/>
  <c r="Z1014" i="1"/>
  <c r="Z1007" i="1"/>
  <c r="Z1064" i="1"/>
  <c r="Z1060" i="1"/>
  <c r="Z1056" i="1"/>
  <c r="Z1042" i="1"/>
  <c r="Z1030" i="1"/>
  <c r="Z1026" i="1"/>
  <c r="Z968" i="1"/>
  <c r="Z964" i="1"/>
  <c r="Z960" i="1"/>
  <c r="Z943" i="1"/>
  <c r="Z901" i="1"/>
  <c r="Y859" i="1"/>
  <c r="Y920" i="1"/>
  <c r="Z920" i="1" s="1"/>
  <c r="Y918" i="1"/>
  <c r="Y913" i="1"/>
  <c r="Y912" i="1"/>
  <c r="Y909" i="1"/>
  <c r="AA909" i="1" s="1"/>
  <c r="Y836" i="1"/>
  <c r="AA836" i="1" s="1"/>
  <c r="Y927" i="1"/>
  <c r="AA927" i="1" s="1"/>
  <c r="Y828" i="1"/>
  <c r="Y826" i="1"/>
  <c r="Z826" i="1" s="1"/>
  <c r="Y765" i="1"/>
  <c r="Y785" i="1"/>
  <c r="AA785" i="1" s="1"/>
  <c r="Y723" i="1"/>
  <c r="Y736" i="1"/>
  <c r="Z736" i="1" s="1"/>
  <c r="Y704" i="1"/>
  <c r="Y688" i="1"/>
  <c r="Y685" i="1"/>
  <c r="Y680" i="1"/>
  <c r="AA680" i="1" s="1"/>
  <c r="Y678" i="1"/>
  <c r="Y675" i="1"/>
  <c r="AA675" i="1" s="1"/>
  <c r="Y669" i="1"/>
  <c r="Y663" i="1"/>
  <c r="Y660" i="1"/>
  <c r="Y654" i="1"/>
  <c r="Y667" i="1"/>
  <c r="Y641" i="1"/>
  <c r="AA641" i="1" s="1"/>
  <c r="Y632" i="1"/>
  <c r="AA632" i="1" s="1"/>
  <c r="Y614" i="1"/>
  <c r="Z614" i="1" s="1"/>
  <c r="Y559" i="1"/>
  <c r="Z559" i="1" s="1"/>
  <c r="Y516" i="1"/>
  <c r="AA516" i="1" s="1"/>
  <c r="Y510" i="1"/>
  <c r="Z510" i="1" s="1"/>
  <c r="Y509" i="1"/>
  <c r="Y536" i="1"/>
  <c r="Y528" i="1"/>
  <c r="Z528" i="1" s="1"/>
  <c r="Y481" i="1"/>
  <c r="Y471" i="1"/>
  <c r="Z471" i="1" s="1"/>
  <c r="Y467" i="1"/>
  <c r="Y456" i="1"/>
  <c r="Y442" i="1"/>
  <c r="Y436" i="1"/>
  <c r="Y432" i="1"/>
  <c r="Y404" i="1"/>
  <c r="Y401" i="1"/>
  <c r="AA401" i="1" s="1"/>
  <c r="Y397" i="1"/>
  <c r="Y381" i="1"/>
  <c r="AA381" i="1" s="1"/>
  <c r="Y344" i="1"/>
  <c r="AA344" i="1" s="1"/>
  <c r="Y334" i="1"/>
  <c r="AA334" i="1" s="1"/>
  <c r="Y325" i="1"/>
  <c r="AA325" i="1" s="1"/>
  <c r="Y292" i="1"/>
  <c r="Y288" i="1"/>
  <c r="Z288" i="1" s="1"/>
  <c r="Y269" i="1"/>
  <c r="Y263" i="1"/>
  <c r="AA263" i="1" s="1"/>
  <c r="Y249" i="1"/>
  <c r="Y191" i="1"/>
  <c r="Y186" i="1"/>
  <c r="AA186" i="1" s="1"/>
  <c r="Y182" i="1"/>
  <c r="AA182" i="1" s="1"/>
  <c r="Y167" i="1"/>
  <c r="Y161" i="1"/>
  <c r="AA161" i="1" s="1"/>
  <c r="Y156" i="1"/>
  <c r="AA156" i="1" s="1"/>
  <c r="Y155" i="1"/>
  <c r="Z155" i="1" s="1"/>
  <c r="Y151" i="1"/>
  <c r="Y17" i="1"/>
  <c r="Z17" i="1" s="1"/>
  <c r="Y6" i="1"/>
  <c r="Y3" i="1"/>
  <c r="Z246" i="1"/>
  <c r="Z241" i="1"/>
  <c r="Z235" i="1"/>
  <c r="Z231" i="1"/>
  <c r="Z992" i="1"/>
  <c r="Z1051" i="1"/>
  <c r="Z1045" i="1"/>
  <c r="Z1021" i="1"/>
  <c r="Z1017" i="1"/>
  <c r="Z1013" i="1"/>
  <c r="Z1010" i="1"/>
  <c r="Z1068" i="1"/>
  <c r="Z1063" i="1"/>
  <c r="Z1059" i="1"/>
  <c r="Z1055" i="1"/>
  <c r="Z1034" i="1"/>
  <c r="Z1029" i="1"/>
  <c r="Z957" i="1"/>
  <c r="Z967" i="1"/>
  <c r="Z963" i="1"/>
  <c r="Z959" i="1"/>
  <c r="Z942" i="1"/>
  <c r="Z869" i="1"/>
  <c r="Z900" i="1"/>
  <c r="Z895" i="1"/>
  <c r="Z891" i="1"/>
  <c r="Z845" i="1"/>
  <c r="Z783" i="1"/>
  <c r="Z774" i="1"/>
  <c r="Z770" i="1"/>
  <c r="Z798" i="1"/>
  <c r="Z794" i="1"/>
  <c r="Z759" i="1"/>
  <c r="Z756" i="1"/>
  <c r="Z753" i="1"/>
  <c r="Z749" i="1"/>
  <c r="Z745" i="1"/>
  <c r="Z740" i="1"/>
  <c r="Z803" i="1"/>
  <c r="Z801" i="1"/>
  <c r="Z730" i="1"/>
  <c r="Z563" i="1"/>
  <c r="Z373" i="1"/>
  <c r="Z370" i="1"/>
  <c r="Z366" i="1"/>
  <c r="Z360" i="1"/>
  <c r="Z356" i="1"/>
  <c r="Z352" i="1"/>
  <c r="Z1090" i="1"/>
  <c r="Z1071" i="1"/>
  <c r="Z1080" i="1"/>
  <c r="Z1075" i="1"/>
  <c r="Z1036" i="1"/>
  <c r="Z1001" i="1"/>
  <c r="Z989" i="1"/>
  <c r="Z991" i="1"/>
  <c r="Z980" i="1"/>
  <c r="Z975" i="1"/>
  <c r="Z972" i="1"/>
  <c r="Z953" i="1"/>
  <c r="Z949" i="1"/>
  <c r="Z848" i="1"/>
  <c r="Z888" i="1"/>
  <c r="Z887" i="1"/>
  <c r="Z877" i="1"/>
  <c r="Z875" i="1"/>
  <c r="Z914" i="1"/>
  <c r="Z908" i="1"/>
  <c r="Z838" i="1"/>
  <c r="Z841" i="1"/>
  <c r="Z922" i="1"/>
  <c r="Z928" i="1"/>
  <c r="Z834" i="1"/>
  <c r="Z734" i="1"/>
  <c r="Z787" i="1"/>
  <c r="Z806" i="1"/>
  <c r="Z764" i="1"/>
  <c r="Z786" i="1"/>
  <c r="Z713" i="1"/>
  <c r="Z706" i="1"/>
  <c r="Z694" i="1"/>
  <c r="Z689" i="1"/>
  <c r="Z691" i="1"/>
  <c r="Z686" i="1"/>
  <c r="Z692" i="1"/>
  <c r="Z675" i="1"/>
  <c r="Z668" i="1"/>
  <c r="Z643" i="1"/>
  <c r="Z642" i="1"/>
  <c r="Z629" i="1"/>
  <c r="Z619" i="1"/>
  <c r="Z610" i="1"/>
  <c r="Z612" i="1"/>
  <c r="Z601" i="1"/>
  <c r="Z608" i="1"/>
  <c r="Z590" i="1"/>
  <c r="Z585" i="1"/>
  <c r="Z565" i="1"/>
  <c r="Z574" i="1"/>
  <c r="Z554" i="1"/>
  <c r="Z507" i="1"/>
  <c r="Z539" i="1"/>
  <c r="Z513" i="1"/>
  <c r="Z509" i="1"/>
  <c r="Z532" i="1"/>
  <c r="Z524" i="1"/>
  <c r="Z498" i="1"/>
  <c r="Z504" i="1"/>
  <c r="Z483" i="1"/>
  <c r="Z474" i="1"/>
  <c r="Z461" i="1"/>
  <c r="Z458" i="1"/>
  <c r="Z443" i="1"/>
  <c r="Z401" i="1"/>
  <c r="Z397" i="1"/>
  <c r="Z381" i="1"/>
  <c r="Z391" i="1"/>
  <c r="Z386" i="1"/>
  <c r="Z350" i="1"/>
  <c r="Z344" i="1"/>
  <c r="Z329" i="1"/>
  <c r="Z343" i="1"/>
  <c r="Z322" i="1"/>
  <c r="Z318" i="1"/>
  <c r="Z311" i="1"/>
  <c r="Z305" i="1"/>
  <c r="Z262" i="1"/>
  <c r="Z300" i="1"/>
  <c r="Z283" i="1"/>
  <c r="Z278" i="1"/>
  <c r="Z308" i="1"/>
  <c r="Z263" i="1"/>
  <c r="Z257" i="1"/>
  <c r="Z213" i="1"/>
  <c r="Z202" i="1"/>
  <c r="Z259" i="1"/>
  <c r="Z196" i="1"/>
  <c r="Z192" i="1"/>
  <c r="Z187" i="1"/>
  <c r="Z183" i="1"/>
  <c r="Z179" i="1"/>
  <c r="Z170" i="1"/>
  <c r="Z166" i="1"/>
  <c r="Z161" i="1"/>
  <c r="Z154" i="1"/>
  <c r="Z245" i="1"/>
  <c r="Z238" i="1"/>
  <c r="Z234" i="1"/>
  <c r="Z1070" i="1"/>
  <c r="Z1050" i="1"/>
  <c r="Z1043" i="1"/>
  <c r="Z1020" i="1"/>
  <c r="Z1016" i="1"/>
  <c r="Z1009" i="1"/>
  <c r="Z1066" i="1"/>
  <c r="Z1062" i="1"/>
  <c r="Z1058" i="1"/>
  <c r="Z1053" i="1"/>
  <c r="Z1033" i="1"/>
  <c r="Z1028" i="1"/>
  <c r="Z970" i="1"/>
  <c r="Z966" i="1"/>
  <c r="Z962" i="1"/>
  <c r="Z958" i="1"/>
  <c r="Z941" i="1"/>
  <c r="Z903" i="1"/>
  <c r="Z248" i="1"/>
  <c r="Z228" i="1"/>
  <c r="Z237" i="1"/>
  <c r="Z233" i="1"/>
  <c r="Z230" i="1"/>
  <c r="Z1069" i="1"/>
  <c r="Z1047" i="1"/>
  <c r="Z997" i="1"/>
  <c r="Z1019" i="1"/>
  <c r="Z1015" i="1"/>
  <c r="Z1012" i="1"/>
  <c r="Z1008" i="1"/>
  <c r="Z1065" i="1"/>
  <c r="Z1061" i="1"/>
  <c r="Z1057" i="1"/>
  <c r="Z1052" i="1"/>
  <c r="Z1031" i="1"/>
  <c r="Z1027" i="1"/>
  <c r="Z969" i="1"/>
  <c r="Z965" i="1"/>
  <c r="Z961" i="1"/>
  <c r="Z944" i="1"/>
  <c r="Z946" i="1"/>
  <c r="Z902" i="1"/>
  <c r="Z896" i="1"/>
  <c r="Z892" i="1"/>
  <c r="Z846" i="1"/>
  <c r="Z780" i="1"/>
  <c r="Z777" i="1"/>
  <c r="Z771" i="1"/>
  <c r="Z799" i="1"/>
  <c r="Z795" i="1"/>
  <c r="Z760" i="1"/>
  <c r="Z754" i="1"/>
  <c r="Z750" i="1"/>
  <c r="Z746" i="1"/>
  <c r="Z741" i="1"/>
  <c r="Z737" i="1"/>
  <c r="Z731" i="1"/>
  <c r="Z725" i="1"/>
  <c r="Z564" i="1"/>
  <c r="Z560" i="1"/>
  <c r="Z541" i="1"/>
  <c r="Z367" i="1"/>
  <c r="Z361" i="1"/>
  <c r="Z357" i="1"/>
  <c r="Z353" i="1"/>
  <c r="Z1087" i="1"/>
  <c r="Z1077" i="1"/>
  <c r="Z1076" i="1"/>
  <c r="Z1072" i="1"/>
  <c r="Z994" i="1"/>
  <c r="Z1037" i="1"/>
  <c r="Z1000" i="1"/>
  <c r="Z986" i="1"/>
  <c r="Z982" i="1"/>
  <c r="Z976" i="1"/>
  <c r="Z990" i="1"/>
  <c r="Z954" i="1"/>
  <c r="Z950" i="1"/>
  <c r="Z935" i="1"/>
  <c r="Z931" i="1"/>
  <c r="Z904" i="1"/>
  <c r="Z868" i="1"/>
  <c r="Z882" i="1"/>
  <c r="Z878" i="1"/>
  <c r="Z866" i="1"/>
  <c r="Z849" i="1"/>
  <c r="Z917" i="1"/>
  <c r="Z915" i="1"/>
  <c r="Z909" i="1"/>
  <c r="Z945" i="1"/>
  <c r="Z837" i="1"/>
  <c r="Z813" i="1"/>
  <c r="Z947" i="1"/>
  <c r="Z836" i="1"/>
  <c r="Z926" i="1"/>
  <c r="Z831" i="1"/>
  <c r="Z827" i="1"/>
  <c r="Z821" i="1"/>
  <c r="Z817" i="1"/>
  <c r="Z788" i="1"/>
  <c r="Z765" i="1"/>
  <c r="Z804" i="1"/>
  <c r="Z711" i="1"/>
  <c r="Z722" i="1"/>
  <c r="Z714" i="1"/>
  <c r="Z807" i="1"/>
  <c r="Z695" i="1"/>
  <c r="Z708" i="1"/>
  <c r="Z690" i="1"/>
  <c r="Z671" i="1"/>
  <c r="Z680" i="1"/>
  <c r="Z669" i="1"/>
  <c r="Z644" i="1"/>
  <c r="Z636" i="1"/>
  <c r="Z632" i="1"/>
  <c r="Z620" i="1"/>
  <c r="Z611" i="1"/>
  <c r="Z613" i="1"/>
  <c r="Z602" i="1"/>
  <c r="Z597" i="1"/>
  <c r="Z593" i="1"/>
  <c r="Z581" i="1"/>
  <c r="Z575" i="1"/>
  <c r="Z570" i="1"/>
  <c r="Z551" i="1"/>
  <c r="Z556" i="1"/>
  <c r="Z550" i="1"/>
  <c r="Z542" i="1"/>
  <c r="Z505" i="1"/>
  <c r="Z533" i="1"/>
  <c r="Z503" i="1"/>
  <c r="Z467" i="1"/>
  <c r="Z462" i="1"/>
  <c r="Z459" i="1"/>
  <c r="Z457" i="1"/>
  <c r="Z449" i="1"/>
  <c r="Z444" i="1"/>
  <c r="Z427" i="1"/>
  <c r="Z408" i="1"/>
  <c r="Z402" i="1"/>
  <c r="Z398" i="1"/>
  <c r="Z394" i="1"/>
  <c r="Z376" i="1"/>
  <c r="Z387" i="1"/>
  <c r="Z382" i="1"/>
  <c r="Z345" i="1"/>
  <c r="Z338" i="1"/>
  <c r="Z334" i="1"/>
  <c r="Z330" i="1"/>
  <c r="Z326" i="1"/>
  <c r="Z319" i="1"/>
  <c r="Z312" i="1"/>
  <c r="Z313" i="1"/>
  <c r="Z261" i="1"/>
  <c r="Z294" i="1"/>
  <c r="Z285" i="1"/>
  <c r="Z301" i="1"/>
  <c r="Z297" i="1"/>
  <c r="Z275" i="1"/>
  <c r="Z264" i="1"/>
  <c r="Z249" i="1"/>
  <c r="Z218" i="1"/>
  <c r="Z260" i="1"/>
  <c r="Z197" i="1"/>
  <c r="Z193" i="1"/>
  <c r="Z188" i="1"/>
  <c r="Z184" i="1"/>
  <c r="Z180" i="1"/>
  <c r="Z175" i="1"/>
  <c r="Z253" i="1"/>
  <c r="Z167" i="1"/>
  <c r="Z163" i="1"/>
  <c r="Z158" i="1"/>
  <c r="Z156" i="1"/>
  <c r="Z126" i="1"/>
  <c r="Z129" i="1"/>
  <c r="Z146" i="1"/>
  <c r="Z115" i="1"/>
  <c r="Z112" i="1"/>
  <c r="Z96" i="1"/>
  <c r="Z92" i="1"/>
  <c r="Z79" i="1"/>
  <c r="Z69" i="1"/>
  <c r="Z65" i="1"/>
  <c r="Z13" i="1"/>
  <c r="Z58" i="1"/>
  <c r="Z38" i="1"/>
  <c r="Z34" i="1"/>
  <c r="Z25" i="1"/>
  <c r="Z4" i="1"/>
  <c r="Z118" i="1"/>
  <c r="Z100" i="1"/>
  <c r="Z95" i="1"/>
  <c r="Z91" i="1"/>
  <c r="Z88" i="1"/>
  <c r="Z64" i="1"/>
  <c r="Z84" i="1"/>
  <c r="Z45" i="1"/>
  <c r="Z41" i="1"/>
  <c r="Z24" i="1"/>
  <c r="Z19" i="1"/>
  <c r="Z3" i="1"/>
  <c r="Z899" i="1"/>
  <c r="Z894" i="1"/>
  <c r="Z890" i="1"/>
  <c r="Z843" i="1"/>
  <c r="Z782" i="1"/>
  <c r="Z779" i="1"/>
  <c r="Z773" i="1"/>
  <c r="Z768" i="1"/>
  <c r="Z797" i="1"/>
  <c r="Z793" i="1"/>
  <c r="Z758" i="1"/>
  <c r="Z752" i="1"/>
  <c r="Z748" i="1"/>
  <c r="Z742" i="1"/>
  <c r="Z739" i="1"/>
  <c r="Z733" i="1"/>
  <c r="Z729" i="1"/>
  <c r="Z791" i="1"/>
  <c r="Z562" i="1"/>
  <c r="Z372" i="1"/>
  <c r="Z369" i="1"/>
  <c r="Z364" i="1"/>
  <c r="Z359" i="1"/>
  <c r="Z355" i="1"/>
  <c r="Z351" i="1"/>
  <c r="Z1091" i="1"/>
  <c r="Z1079" i="1"/>
  <c r="Z1074" i="1"/>
  <c r="Z1040" i="1"/>
  <c r="Z1035" i="1"/>
  <c r="Z988" i="1"/>
  <c r="Z985" i="1"/>
  <c r="Z979" i="1"/>
  <c r="Z974" i="1"/>
  <c r="Z971" i="1"/>
  <c r="Z956" i="1"/>
  <c r="Z948" i="1"/>
  <c r="Z906" i="1"/>
  <c r="Z870" i="1"/>
  <c r="Z871" i="1"/>
  <c r="Z880" i="1"/>
  <c r="Z911" i="1"/>
  <c r="Z913" i="1"/>
  <c r="Z839" i="1"/>
  <c r="Z924" i="1"/>
  <c r="Z815" i="1"/>
  <c r="Z816" i="1"/>
  <c r="Z811" i="1"/>
  <c r="Z835" i="1"/>
  <c r="Z832" i="1"/>
  <c r="Z800" i="1"/>
  <c r="Z805" i="1"/>
  <c r="Z763" i="1"/>
  <c r="Z785" i="1"/>
  <c r="Z716" i="1"/>
  <c r="Z809" i="1"/>
  <c r="Z710" i="1"/>
  <c r="Z705" i="1"/>
  <c r="Z693" i="1"/>
  <c r="Z673" i="1"/>
  <c r="Z688" i="1"/>
  <c r="Z674" i="1"/>
  <c r="Z640" i="1"/>
  <c r="Z641" i="1"/>
  <c r="Z633" i="1"/>
  <c r="Z628" i="1"/>
  <c r="Z623" i="1"/>
  <c r="Z618" i="1"/>
  <c r="Z616" i="1"/>
  <c r="Z604" i="1"/>
  <c r="Z600" i="1"/>
  <c r="Z607" i="1"/>
  <c r="Z584" i="1"/>
  <c r="Z567" i="1"/>
  <c r="Z569" i="1"/>
  <c r="Z553" i="1"/>
  <c r="Z540" i="1"/>
  <c r="Z516" i="1"/>
  <c r="Z508" i="1"/>
  <c r="Z531" i="1"/>
  <c r="Z517" i="1"/>
  <c r="Z502" i="1"/>
  <c r="Z464" i="1"/>
  <c r="Z447" i="1"/>
  <c r="Z423" i="1"/>
  <c r="Z418" i="1"/>
  <c r="Z400" i="1"/>
  <c r="Z396" i="1"/>
  <c r="Z380" i="1"/>
  <c r="Z374" i="1"/>
  <c r="Z384" i="1"/>
  <c r="Z349" i="1"/>
  <c r="Z347" i="1"/>
  <c r="Z336" i="1"/>
  <c r="Z325" i="1"/>
  <c r="Z321" i="1"/>
  <c r="Z317" i="1"/>
  <c r="Z310" i="1"/>
  <c r="Z306" i="1"/>
  <c r="Z299" i="1"/>
  <c r="Z266" i="1"/>
  <c r="Z240" i="1"/>
  <c r="Z176" i="1"/>
  <c r="Z216" i="1"/>
  <c r="Z212" i="1"/>
  <c r="Z258" i="1"/>
  <c r="Z191" i="1"/>
  <c r="Z186" i="1"/>
  <c r="Z182" i="1"/>
  <c r="Z178" i="1"/>
  <c r="Z173" i="1"/>
  <c r="Z250" i="1"/>
  <c r="Z165" i="1"/>
  <c r="Z159" i="1"/>
  <c r="Z160" i="1"/>
  <c r="Z151" i="1"/>
  <c r="Z116" i="1"/>
  <c r="Z144" i="1"/>
  <c r="Z137" i="1"/>
  <c r="Z136" i="1"/>
  <c r="Z111" i="1"/>
  <c r="Z107" i="1"/>
  <c r="Z103" i="1"/>
  <c r="Z90" i="1"/>
  <c r="Z71" i="1"/>
  <c r="Z63" i="1"/>
  <c r="Z61" i="1"/>
  <c r="Z44" i="1"/>
  <c r="Z23" i="1"/>
  <c r="Z18" i="1"/>
  <c r="Z12" i="1"/>
  <c r="Z11" i="1"/>
  <c r="Z6" i="1"/>
  <c r="Z2" i="1"/>
  <c r="Z898" i="1"/>
  <c r="Z893" i="1"/>
  <c r="Z847" i="1"/>
  <c r="Z810" i="1"/>
  <c r="Z781" i="1"/>
  <c r="Z778" i="1"/>
  <c r="Z772" i="1"/>
  <c r="Z767" i="1"/>
  <c r="Z796" i="1"/>
  <c r="Z757" i="1"/>
  <c r="Z755" i="1"/>
  <c r="Z751" i="1"/>
  <c r="Z747" i="1"/>
  <c r="Z738" i="1"/>
  <c r="Z712" i="1"/>
  <c r="Z732" i="1"/>
  <c r="Z727" i="1"/>
  <c r="Z790" i="1"/>
  <c r="Z561" i="1"/>
  <c r="Z371" i="1"/>
  <c r="Z368" i="1"/>
  <c r="Z362" i="1"/>
  <c r="Z358" i="1"/>
  <c r="Z354" i="1"/>
  <c r="Z1094" i="1"/>
  <c r="Z1088" i="1"/>
  <c r="Z1082" i="1"/>
  <c r="Z1078" i="1"/>
  <c r="Z1073" i="1"/>
  <c r="Z1039" i="1"/>
  <c r="Z1006" i="1"/>
  <c r="Z987" i="1"/>
  <c r="Z983" i="1"/>
  <c r="Z973" i="1"/>
  <c r="Z955" i="1"/>
  <c r="Z952" i="1"/>
  <c r="Z936" i="1"/>
  <c r="Z905" i="1"/>
  <c r="Z842" i="1"/>
  <c r="Z867" i="1"/>
  <c r="Z850" i="1"/>
  <c r="Z910" i="1"/>
  <c r="Z912" i="1"/>
  <c r="Z921" i="1"/>
  <c r="Z923" i="1"/>
  <c r="Z814" i="1"/>
  <c r="Z812" i="1"/>
  <c r="Z929" i="1"/>
  <c r="Z927" i="1"/>
  <c r="Z925" i="1"/>
  <c r="Z822" i="1"/>
  <c r="Z818" i="1"/>
  <c r="Z789" i="1"/>
  <c r="Z766" i="1"/>
  <c r="Z762" i="1"/>
  <c r="Z761" i="1"/>
  <c r="Z696" i="1"/>
  <c r="Z707" i="1"/>
  <c r="Z672" i="1"/>
  <c r="Z687" i="1"/>
  <c r="Z681" i="1"/>
  <c r="Z677" i="1"/>
  <c r="Z670" i="1"/>
  <c r="Z661" i="1"/>
  <c r="Z655" i="1"/>
  <c r="Z649" i="1"/>
  <c r="Z667" i="1"/>
  <c r="Z639" i="1"/>
  <c r="Z637" i="1"/>
  <c r="Z635" i="1"/>
  <c r="Z627" i="1"/>
  <c r="Z621" i="1"/>
  <c r="Z617" i="1"/>
  <c r="Z609" i="1"/>
  <c r="Z603" i="1"/>
  <c r="Z594" i="1"/>
  <c r="Z587" i="1"/>
  <c r="Z582" i="1"/>
  <c r="Z566" i="1"/>
  <c r="Z555" i="1"/>
  <c r="Z557" i="1"/>
  <c r="Z547" i="1"/>
  <c r="Z506" i="1"/>
  <c r="Z515" i="1"/>
  <c r="Z538" i="1"/>
  <c r="Z534" i="1"/>
  <c r="Z530" i="1"/>
  <c r="Z526" i="1"/>
  <c r="Z500" i="1"/>
  <c r="Z491" i="1"/>
  <c r="Z463" i="1"/>
  <c r="Z501" i="1"/>
  <c r="Z450" i="1"/>
  <c r="Z446" i="1"/>
  <c r="Z403" i="1"/>
  <c r="Z399" i="1"/>
  <c r="Z395" i="1"/>
  <c r="Z378" i="1"/>
  <c r="Z393" i="1"/>
  <c r="Z348" i="1"/>
  <c r="Z346" i="1"/>
  <c r="Z324" i="1"/>
  <c r="Z316" i="1"/>
  <c r="Z314" i="1"/>
  <c r="Z315" i="1"/>
  <c r="Z307" i="1"/>
  <c r="Z287" i="1"/>
  <c r="Z303" i="1"/>
  <c r="Z298" i="1"/>
  <c r="Z272" i="1"/>
  <c r="Z265" i="1"/>
  <c r="Z239" i="1"/>
  <c r="Z219" i="1"/>
  <c r="Z211" i="1"/>
  <c r="Z198" i="1"/>
  <c r="Z194" i="1"/>
  <c r="Z185" i="1"/>
  <c r="Z181" i="1"/>
  <c r="Z177" i="1"/>
  <c r="Z172" i="1"/>
  <c r="Z168" i="1"/>
  <c r="Z164" i="1"/>
  <c r="Z149" i="1"/>
  <c r="Z157" i="1"/>
  <c r="Z150" i="1"/>
  <c r="Z135" i="1"/>
  <c r="Z147" i="1"/>
  <c r="Z113" i="1"/>
  <c r="Z106" i="1"/>
  <c r="Z97" i="1"/>
  <c r="Z89" i="1"/>
  <c r="Z82" i="1"/>
  <c r="Z14" i="1"/>
  <c r="Z55" i="1"/>
  <c r="Z22" i="1"/>
  <c r="L995" i="1"/>
  <c r="L884" i="1"/>
  <c r="K697" i="1"/>
  <c r="L697" i="1"/>
  <c r="L596" i="1"/>
  <c r="K589" i="1"/>
  <c r="L589" i="1"/>
  <c r="L578" i="1"/>
  <c r="L486" i="1"/>
  <c r="L480" i="1"/>
  <c r="K473" i="1"/>
  <c r="L473" i="1"/>
  <c r="K445" i="1"/>
  <c r="L445" i="1"/>
  <c r="K420" i="1"/>
  <c r="L420" i="1"/>
  <c r="L409" i="1"/>
  <c r="K286" i="1"/>
  <c r="L286" i="1"/>
  <c r="AL14" i="1" s="1"/>
  <c r="L221" i="1"/>
  <c r="AL9" i="1" s="1"/>
  <c r="L201" i="1"/>
  <c r="L124" i="1"/>
  <c r="K98" i="1"/>
  <c r="L98" i="1"/>
  <c r="AL5" i="1" s="1"/>
  <c r="L1054" i="1"/>
  <c r="K889" i="1"/>
  <c r="L889" i="1"/>
  <c r="A792" i="1"/>
  <c r="L792" i="1"/>
  <c r="K1089" i="1"/>
  <c r="L1089" i="1"/>
  <c r="L984" i="1"/>
  <c r="L883" i="1"/>
  <c r="L833" i="1"/>
  <c r="L704" i="1"/>
  <c r="K685" i="1"/>
  <c r="L685" i="1"/>
  <c r="L678" i="1"/>
  <c r="A626" i="1"/>
  <c r="AI26" i="1" s="1"/>
  <c r="L626" i="1"/>
  <c r="AL26" i="1" s="1"/>
  <c r="K595" i="1"/>
  <c r="L595" i="1"/>
  <c r="A583" i="1"/>
  <c r="L583" i="1"/>
  <c r="K522" i="1"/>
  <c r="L522" i="1"/>
  <c r="K485" i="1"/>
  <c r="L485" i="1"/>
  <c r="K435" i="1"/>
  <c r="L435" i="1"/>
  <c r="K429" i="1"/>
  <c r="L429" i="1"/>
  <c r="L302" i="1"/>
  <c r="L208" i="1"/>
  <c r="A123" i="1"/>
  <c r="L123" i="1"/>
  <c r="A85" i="1"/>
  <c r="L85" i="1"/>
  <c r="L1086" i="1"/>
  <c r="A981" i="1"/>
  <c r="AA981" i="1" s="1"/>
  <c r="L981" i="1"/>
  <c r="L852" i="1"/>
  <c r="AL33" i="1" s="1"/>
  <c r="K825" i="1"/>
  <c r="L825" i="1"/>
  <c r="L645" i="1"/>
  <c r="A592" i="1"/>
  <c r="AA592" i="1" s="1"/>
  <c r="L592" i="1"/>
  <c r="L573" i="1"/>
  <c r="K466" i="1"/>
  <c r="L466" i="1"/>
  <c r="K455" i="1"/>
  <c r="L455" i="1"/>
  <c r="L434" i="1"/>
  <c r="K426" i="1"/>
  <c r="L426" i="1"/>
  <c r="K385" i="1"/>
  <c r="L385" i="1"/>
  <c r="AL17" i="1" s="1"/>
  <c r="K282" i="1"/>
  <c r="L282" i="1"/>
  <c r="AL13" i="1" s="1"/>
  <c r="L207" i="1"/>
  <c r="L54" i="1"/>
  <c r="L784" i="1"/>
  <c r="A702" i="1"/>
  <c r="L702" i="1"/>
  <c r="L682" i="1"/>
  <c r="L658" i="1"/>
  <c r="K631" i="1"/>
  <c r="L631" i="1"/>
  <c r="K599" i="1"/>
  <c r="L599" i="1"/>
  <c r="A572" i="1"/>
  <c r="L572" i="1"/>
  <c r="AL23" i="1" s="1"/>
  <c r="K494" i="1"/>
  <c r="L494" i="1"/>
  <c r="K481" i="1"/>
  <c r="L481" i="1"/>
  <c r="A460" i="1"/>
  <c r="L460" i="1"/>
  <c r="L424" i="1"/>
  <c r="A410" i="1"/>
  <c r="L410" i="1"/>
  <c r="A379" i="1"/>
  <c r="L379" i="1"/>
  <c r="A341" i="1"/>
  <c r="AI15" i="1" s="1"/>
  <c r="L341" i="1"/>
  <c r="AL15" i="1" s="1"/>
  <c r="K203" i="1"/>
  <c r="L203" i="1"/>
  <c r="L125" i="1"/>
  <c r="K76" i="1"/>
  <c r="L76" i="1"/>
  <c r="K52" i="1"/>
  <c r="L52" i="1"/>
  <c r="A50" i="1"/>
  <c r="L50" i="1"/>
  <c r="L242" i="1"/>
  <c r="AL11" i="1" s="1"/>
  <c r="L993" i="1"/>
  <c r="L897" i="1"/>
  <c r="L776" i="1"/>
  <c r="L726" i="1"/>
  <c r="AL29" i="1" s="1"/>
  <c r="Q879" i="1"/>
  <c r="K162" i="1"/>
  <c r="A1054" i="1"/>
  <c r="K72" i="1"/>
  <c r="K1067" i="1"/>
  <c r="A226" i="1"/>
  <c r="AA226" i="1" s="1"/>
  <c r="A1044" i="1"/>
  <c r="K1044" i="1"/>
  <c r="A1024" i="1"/>
  <c r="AA1024" i="1" s="1"/>
  <c r="K1054" i="1"/>
  <c r="A889" i="1"/>
  <c r="A775" i="1"/>
  <c r="AA775" i="1" s="1"/>
  <c r="K897" i="1"/>
  <c r="K775" i="1"/>
  <c r="K578" i="1"/>
  <c r="K409" i="1"/>
  <c r="K1092" i="1"/>
  <c r="A127" i="1"/>
  <c r="K201" i="1"/>
  <c r="A286" i="1"/>
  <c r="AI14" i="1" s="1"/>
  <c r="K824" i="1"/>
  <c r="K410" i="1"/>
  <c r="K7" i="1"/>
  <c r="K379" i="1"/>
  <c r="A424" i="1"/>
  <c r="AA424" i="1" s="1"/>
  <c r="K743" i="1"/>
  <c r="K1024" i="1"/>
  <c r="K85" i="1"/>
  <c r="A743" i="1"/>
  <c r="K792" i="1"/>
  <c r="K518" i="1"/>
  <c r="A282" i="1"/>
  <c r="AI13" i="1" s="1"/>
  <c r="K434" i="1"/>
  <c r="K999" i="1"/>
  <c r="K1032" i="1"/>
  <c r="A1032" i="1"/>
  <c r="A769" i="1"/>
  <c r="K169" i="1"/>
  <c r="K844" i="1"/>
  <c r="K802" i="1"/>
  <c r="A977" i="1"/>
  <c r="K977" i="1"/>
  <c r="A919" i="1"/>
  <c r="AI36" i="1" s="1"/>
  <c r="K919" i="1"/>
  <c r="A682" i="1"/>
  <c r="K682" i="1"/>
  <c r="A658" i="1"/>
  <c r="K658" i="1"/>
  <c r="A631" i="1"/>
  <c r="AA631" i="1" s="1"/>
  <c r="A599" i="1"/>
  <c r="AA599" i="1" s="1"/>
  <c r="A591" i="1"/>
  <c r="AA591" i="1" s="1"/>
  <c r="K591" i="1"/>
  <c r="K572" i="1"/>
  <c r="A494" i="1"/>
  <c r="K475" i="1"/>
  <c r="K424" i="1"/>
  <c r="K341" i="1"/>
  <c r="A225" i="1"/>
  <c r="K225" i="1"/>
  <c r="A203" i="1"/>
  <c r="A252" i="1"/>
  <c r="A131" i="1"/>
  <c r="K131" i="1"/>
  <c r="A76" i="1"/>
  <c r="K940" i="1"/>
  <c r="K50" i="1"/>
  <c r="K252" i="1"/>
  <c r="K702" i="1"/>
  <c r="A824" i="1"/>
  <c r="A1084" i="1"/>
  <c r="K1084" i="1"/>
  <c r="A995" i="1"/>
  <c r="K995" i="1"/>
  <c r="A596" i="1"/>
  <c r="AA596" i="1" s="1"/>
  <c r="K596" i="1"/>
  <c r="K377" i="1"/>
  <c r="K119" i="1"/>
  <c r="K650" i="1"/>
  <c r="A477" i="1"/>
  <c r="A472" i="1"/>
  <c r="AA472" i="1" s="1"/>
  <c r="K472" i="1"/>
  <c r="A429" i="1"/>
  <c r="A413" i="1"/>
  <c r="K413" i="1"/>
  <c r="K390" i="1"/>
  <c r="A208" i="1"/>
  <c r="K208" i="1"/>
  <c r="K153" i="1"/>
  <c r="A110" i="1"/>
  <c r="AA110" i="1" s="1"/>
  <c r="K243" i="1"/>
  <c r="K1011" i="1"/>
  <c r="A940" i="1"/>
  <c r="A728" i="1"/>
  <c r="AA728" i="1" s="1"/>
  <c r="K728" i="1"/>
  <c r="K363" i="1"/>
  <c r="A825" i="1"/>
  <c r="K645" i="1"/>
  <c r="A645" i="1"/>
  <c r="A404" i="1"/>
  <c r="A254" i="1"/>
  <c r="AA254" i="1" s="1"/>
  <c r="K254" i="1"/>
  <c r="A54" i="1"/>
  <c r="A51" i="1"/>
  <c r="K51" i="1"/>
  <c r="A242" i="1"/>
  <c r="K242" i="1"/>
  <c r="A1048" i="1"/>
  <c r="AA1048" i="1" s="1"/>
  <c r="K1048" i="1"/>
  <c r="A993" i="1"/>
  <c r="AA993" i="1" s="1"/>
  <c r="A1067" i="1"/>
  <c r="AA1067" i="1" s="1"/>
  <c r="A897" i="1"/>
  <c r="AA897" i="1" s="1"/>
  <c r="A744" i="1"/>
  <c r="AA744" i="1" s="1"/>
  <c r="K744" i="1"/>
  <c r="K998" i="1"/>
  <c r="K54" i="1"/>
  <c r="K981" i="1"/>
  <c r="K123" i="1"/>
  <c r="K833" i="1"/>
  <c r="A1092" i="1"/>
  <c r="A884" i="1"/>
  <c r="K884" i="1"/>
  <c r="A652" i="1"/>
  <c r="AA652" i="1" s="1"/>
  <c r="K652" i="1"/>
  <c r="A589" i="1"/>
  <c r="AA589" i="1" s="1"/>
  <c r="A480" i="1"/>
  <c r="AA480" i="1" s="1"/>
  <c r="K480" i="1"/>
  <c r="A473" i="1"/>
  <c r="K221" i="1"/>
  <c r="K127" i="1"/>
  <c r="A984" i="1"/>
  <c r="K984" i="1"/>
  <c r="A522" i="1"/>
  <c r="A456" i="1"/>
  <c r="K456" i="1"/>
  <c r="A435" i="1"/>
  <c r="AA435" i="1" s="1"/>
  <c r="A405" i="1"/>
  <c r="K405" i="1"/>
  <c r="K20" i="1"/>
  <c r="K1049" i="1"/>
  <c r="A1011" i="1"/>
  <c r="A784" i="1"/>
  <c r="AA784" i="1" s="1"/>
  <c r="K784" i="1"/>
  <c r="A485" i="1"/>
  <c r="A420" i="1"/>
  <c r="A409" i="1"/>
  <c r="A201" i="1"/>
  <c r="A119" i="1"/>
  <c r="AA119" i="1" s="1"/>
  <c r="A72" i="1"/>
  <c r="AA72" i="1" s="1"/>
  <c r="A52" i="1"/>
  <c r="A243" i="1"/>
  <c r="AA243" i="1" s="1"/>
  <c r="A1049" i="1"/>
  <c r="AA1049" i="1" s="1"/>
  <c r="A998" i="1"/>
  <c r="AA998" i="1" s="1"/>
  <c r="A735" i="1"/>
  <c r="AA735" i="1" s="1"/>
  <c r="A1086" i="1"/>
  <c r="A684" i="1"/>
  <c r="A659" i="1"/>
  <c r="AA659" i="1" s="1"/>
  <c r="K659" i="1"/>
  <c r="A466" i="1"/>
  <c r="AA466" i="1" s="1"/>
  <c r="A434" i="1"/>
  <c r="A153" i="1"/>
  <c r="K993" i="1"/>
  <c r="K684" i="1"/>
  <c r="K1086" i="1"/>
  <c r="K110" i="1"/>
  <c r="A221" i="1"/>
  <c r="A363" i="1"/>
  <c r="A481" i="1"/>
  <c r="A475" i="1"/>
  <c r="AA475" i="1" s="1"/>
  <c r="K460" i="1"/>
  <c r="A433" i="1"/>
  <c r="K433" i="1"/>
  <c r="A426" i="1"/>
  <c r="AA426" i="1" s="1"/>
  <c r="K404" i="1"/>
  <c r="A121" i="1"/>
  <c r="A132" i="1"/>
  <c r="K132" i="1"/>
  <c r="A59" i="1"/>
  <c r="K59" i="1"/>
  <c r="A486" i="1"/>
  <c r="K486" i="1"/>
  <c r="A125" i="1"/>
  <c r="K125" i="1"/>
  <c r="A1089" i="1"/>
  <c r="AA1089" i="1" s="1"/>
  <c r="A1081" i="1"/>
  <c r="K1081" i="1"/>
  <c r="K883" i="1"/>
  <c r="A883" i="1"/>
  <c r="A833" i="1"/>
  <c r="A704" i="1"/>
  <c r="K704" i="1"/>
  <c r="A685" i="1"/>
  <c r="A678" i="1"/>
  <c r="K678" i="1"/>
  <c r="A650" i="1"/>
  <c r="AA650" i="1" s="1"/>
  <c r="K626" i="1"/>
  <c r="A595" i="1"/>
  <c r="K583" i="1"/>
  <c r="A162" i="1"/>
  <c r="A244" i="1"/>
  <c r="AA244" i="1" s="1"/>
  <c r="K244" i="1"/>
  <c r="A169" i="1"/>
  <c r="AA169" i="1" s="1"/>
  <c r="A999" i="1"/>
  <c r="AA999" i="1" s="1"/>
  <c r="A1023" i="1"/>
  <c r="AA1023" i="1" s="1"/>
  <c r="K1023" i="1"/>
  <c r="A844" i="1"/>
  <c r="K769" i="1"/>
  <c r="A802" i="1"/>
  <c r="A365" i="1"/>
  <c r="AA365" i="1" s="1"/>
  <c r="K365" i="1"/>
  <c r="A390" i="1"/>
  <c r="A302" i="1"/>
  <c r="K302" i="1"/>
  <c r="A189" i="1"/>
  <c r="K189" i="1"/>
  <c r="A33" i="1"/>
  <c r="K33" i="1"/>
  <c r="A98" i="1"/>
  <c r="AI5" i="1" s="1"/>
  <c r="A852" i="1"/>
  <c r="AI33" i="1" s="1"/>
  <c r="K852" i="1"/>
  <c r="A703" i="1"/>
  <c r="AA703" i="1" s="1"/>
  <c r="K703" i="1"/>
  <c r="A476" i="1"/>
  <c r="A776" i="1"/>
  <c r="AA776" i="1" s="1"/>
  <c r="K776" i="1"/>
  <c r="K726" i="1"/>
  <c r="A726" i="1"/>
  <c r="A996" i="1"/>
  <c r="AA996" i="1" s="1"/>
  <c r="K996" i="1"/>
  <c r="A622" i="1"/>
  <c r="AA622" i="1" s="1"/>
  <c r="K622" i="1"/>
  <c r="K573" i="1"/>
  <c r="A573" i="1"/>
  <c r="AA573" i="1" s="1"/>
  <c r="A484" i="1"/>
  <c r="K484" i="1"/>
  <c r="A455" i="1"/>
  <c r="AA455" i="1" s="1"/>
  <c r="A412" i="1"/>
  <c r="K412" i="1"/>
  <c r="A207" i="1"/>
  <c r="K207" i="1"/>
  <c r="A152" i="1"/>
  <c r="K152" i="1"/>
  <c r="A117" i="1"/>
  <c r="K117" i="1"/>
  <c r="A445" i="1"/>
  <c r="A1085" i="1"/>
  <c r="K1085" i="1"/>
  <c r="A840" i="1"/>
  <c r="A679" i="1"/>
  <c r="K679" i="1"/>
  <c r="A518" i="1"/>
  <c r="A385" i="1"/>
  <c r="K476" i="1"/>
  <c r="A697" i="1"/>
  <c r="A630" i="1"/>
  <c r="K630" i="1"/>
  <c r="K592" i="1"/>
  <c r="A578" i="1"/>
  <c r="A430" i="1"/>
  <c r="K430" i="1"/>
  <c r="A377" i="1"/>
  <c r="A124" i="1"/>
  <c r="K124" i="1"/>
  <c r="A120" i="1"/>
  <c r="K120" i="1"/>
  <c r="A7" i="1"/>
  <c r="AI2" i="1" s="1"/>
  <c r="A20" i="1"/>
  <c r="AA12" i="1" l="1"/>
  <c r="AI17" i="1"/>
  <c r="AI29" i="1"/>
  <c r="AA833" i="1"/>
  <c r="AA420" i="1"/>
  <c r="AA76" i="1"/>
  <c r="AA685" i="1"/>
  <c r="AA207" i="1"/>
  <c r="AA33" i="1"/>
  <c r="AL34" i="1"/>
  <c r="AI34" i="1"/>
  <c r="AI18" i="1"/>
  <c r="AI22" i="1"/>
  <c r="AM22" i="1" s="1" a="1"/>
  <c r="AM22" i="1" s="1"/>
  <c r="AN22" i="1" s="1"/>
  <c r="AI16" i="1"/>
  <c r="AA984" i="1"/>
  <c r="AA456" i="1"/>
  <c r="AI3" i="1"/>
  <c r="AM3" i="1" s="1" a="1"/>
  <c r="AM3" i="1" s="1"/>
  <c r="AN3" i="1" s="1"/>
  <c r="AI8" i="1"/>
  <c r="AI9" i="1"/>
  <c r="AJ11" i="1"/>
  <c r="AI32" i="1"/>
  <c r="AM32" i="1" s="1" a="1"/>
  <c r="AM32" i="1" s="1"/>
  <c r="AN32" i="1" s="1"/>
  <c r="AI12" i="1"/>
  <c r="AI39" i="1"/>
  <c r="AM39" i="1" s="1" a="1"/>
  <c r="AM39" i="1" s="1"/>
  <c r="AN39" i="1" s="1"/>
  <c r="AI20" i="1"/>
  <c r="AM20" i="1" s="1" a="1"/>
  <c r="AM20" i="1" s="1"/>
  <c r="AN20" i="1" s="1"/>
  <c r="AJ38" i="1"/>
  <c r="AJ42" i="1"/>
  <c r="AI40" i="1"/>
  <c r="AI31" i="1"/>
  <c r="AM31" i="1" s="1" a="1"/>
  <c r="AM31" i="1" s="1"/>
  <c r="AN31" i="1" s="1"/>
  <c r="AI30" i="1"/>
  <c r="AM30" i="1" s="1" a="1"/>
  <c r="AM30" i="1" s="1"/>
  <c r="AN30" i="1" s="1"/>
  <c r="AJ16" i="1"/>
  <c r="AJ29" i="1"/>
  <c r="AI23" i="1"/>
  <c r="AM23" i="1" s="1" a="1"/>
  <c r="AM23" i="1" s="1"/>
  <c r="AN23" i="1" s="1"/>
  <c r="AI24" i="1"/>
  <c r="AL35" i="1"/>
  <c r="AI27" i="1"/>
  <c r="AM27" i="1" s="1" a="1"/>
  <c r="AM27" i="1" s="1"/>
  <c r="AN27" i="1" s="1"/>
  <c r="AI35" i="1"/>
  <c r="AM35" i="1" s="1" a="1"/>
  <c r="AM35" i="1" s="1"/>
  <c r="AN35" i="1" s="1"/>
  <c r="AI42" i="1"/>
  <c r="AM42" i="1" s="1" a="1"/>
  <c r="AM42" i="1" s="1"/>
  <c r="AN42" i="1" s="1"/>
  <c r="AL20" i="1"/>
  <c r="AJ30" i="1"/>
  <c r="AJ39" i="1"/>
  <c r="AJ10" i="1"/>
  <c r="AJ7" i="1"/>
  <c r="AL25" i="1"/>
  <c r="AL19" i="1"/>
  <c r="AL32" i="1"/>
  <c r="AL3" i="1"/>
  <c r="AL22" i="1"/>
  <c r="AL18" i="1"/>
  <c r="AI11" i="1"/>
  <c r="AM11" i="1" s="1" a="1"/>
  <c r="AM11" i="1" s="1"/>
  <c r="AN11" i="1" s="1"/>
  <c r="AI25" i="1"/>
  <c r="AJ24" i="1"/>
  <c r="AM36" i="1" a="1"/>
  <c r="AM36" i="1" s="1"/>
  <c r="AN36" i="1" s="1"/>
  <c r="AM25" i="1" a="1"/>
  <c r="AM25" i="1" s="1"/>
  <c r="AN25" i="1" s="1"/>
  <c r="AM9" i="1" a="1"/>
  <c r="AM9" i="1" s="1"/>
  <c r="AN9" i="1" s="1"/>
  <c r="AM14" i="1" a="1"/>
  <c r="AM14" i="1" s="1"/>
  <c r="AN14" i="1" s="1"/>
  <c r="AM7" i="1" a="1"/>
  <c r="AM7" i="1" s="1"/>
  <c r="AN7" i="1" s="1"/>
  <c r="AA390" i="1"/>
  <c r="AA208" i="1"/>
  <c r="AA52" i="1"/>
  <c r="AI6" i="1"/>
  <c r="AM6" i="1" s="1" a="1"/>
  <c r="AM6" i="1" s="1"/>
  <c r="AN6" i="1" s="1"/>
  <c r="AL27" i="1"/>
  <c r="AL8" i="1"/>
  <c r="AI4" i="1"/>
  <c r="AM4" i="1" s="1" a="1"/>
  <c r="AM4" i="1" s="1"/>
  <c r="AN4" i="1" s="1"/>
  <c r="AJ35" i="1"/>
  <c r="AI28" i="1"/>
  <c r="AM28" i="1" s="1" a="1"/>
  <c r="AM28" i="1" s="1"/>
  <c r="AN28" i="1" s="1"/>
  <c r="AJ31" i="1"/>
  <c r="AM16" i="1" a="1"/>
  <c r="AM16" i="1" s="1"/>
  <c r="AN16" i="1" s="1"/>
  <c r="AM37" i="1" a="1"/>
  <c r="AM37" i="1" s="1"/>
  <c r="AN37" i="1" s="1"/>
  <c r="AM21" i="1" a="1"/>
  <c r="AM21" i="1" s="1"/>
  <c r="AN21" i="1" s="1"/>
  <c r="AM5" i="1" a="1"/>
  <c r="AM5" i="1" s="1"/>
  <c r="AN5" i="1" s="1"/>
  <c r="AM26" i="1" a="1"/>
  <c r="AM26" i="1" s="1"/>
  <c r="AN26" i="1" s="1"/>
  <c r="AM10" i="1" a="1"/>
  <c r="AM10" i="1" s="1"/>
  <c r="AN10" i="1" s="1"/>
  <c r="AI19" i="1"/>
  <c r="AM19" i="1" s="1" a="1"/>
  <c r="AM19" i="1" s="1"/>
  <c r="AN19" i="1" s="1"/>
  <c r="AA341" i="1"/>
  <c r="AL24" i="1"/>
  <c r="AL28" i="1"/>
  <c r="AL39" i="1"/>
  <c r="AL4" i="1"/>
  <c r="AM12" i="1" a="1"/>
  <c r="AM12" i="1" s="1"/>
  <c r="AN12" i="1" s="1"/>
  <c r="AM33" i="1" a="1"/>
  <c r="AM33" i="1" s="1"/>
  <c r="AN33" i="1" s="1"/>
  <c r="AM17" i="1" a="1"/>
  <c r="AM17" i="1" s="1"/>
  <c r="AN17" i="1" s="1"/>
  <c r="AM38" i="1" a="1"/>
  <c r="AM38" i="1" s="1"/>
  <c r="AN38" i="1" s="1"/>
  <c r="AM15" i="1" a="1"/>
  <c r="AM15" i="1" s="1"/>
  <c r="AN15" i="1" s="1"/>
  <c r="AM2" i="1" a="1"/>
  <c r="AM2" i="1" s="1"/>
  <c r="AN2" i="1" s="1"/>
  <c r="AL31" i="1"/>
  <c r="AM41" i="1" a="1"/>
  <c r="AM41" i="1" s="1"/>
  <c r="AN41" i="1" s="1"/>
  <c r="AM24" i="1" a="1"/>
  <c r="AM24" i="1" s="1"/>
  <c r="AN24" i="1" s="1"/>
  <c r="AM8" i="1" a="1"/>
  <c r="AM8" i="1" s="1"/>
  <c r="AN8" i="1" s="1"/>
  <c r="AM29" i="1" a="1"/>
  <c r="AM29" i="1" s="1"/>
  <c r="AN29" i="1" s="1"/>
  <c r="AM13" i="1" a="1"/>
  <c r="AM13" i="1" s="1"/>
  <c r="AN13" i="1" s="1"/>
  <c r="AM34" i="1" a="1"/>
  <c r="AM34" i="1" s="1"/>
  <c r="AN34" i="1" s="1"/>
  <c r="AM18" i="1" a="1"/>
  <c r="AM18" i="1" s="1"/>
  <c r="AN18" i="1" s="1"/>
  <c r="AM40" i="1" a="1"/>
  <c r="AM40" i="1" s="1"/>
  <c r="AN40" i="1" s="1"/>
  <c r="AA162" i="1"/>
  <c r="AA1084" i="1"/>
  <c r="AA131" i="1"/>
  <c r="AA225" i="1"/>
  <c r="AA578" i="1"/>
  <c r="AA132" i="1"/>
  <c r="AA153" i="1"/>
  <c r="AA484" i="1"/>
  <c r="AA189" i="1"/>
  <c r="AA434" i="1"/>
  <c r="AA684" i="1"/>
  <c r="AA884" i="1"/>
  <c r="AA704" i="1"/>
  <c r="AA125" i="1"/>
  <c r="AA221" i="1"/>
  <c r="AA682" i="1"/>
  <c r="AA201" i="1"/>
  <c r="AA485" i="1"/>
  <c r="AA473" i="1"/>
  <c r="AA429" i="1"/>
  <c r="AA124" i="1"/>
  <c r="AA840" i="1"/>
  <c r="AA433" i="1"/>
  <c r="AA1092" i="1"/>
  <c r="AA120" i="1"/>
  <c r="AA1085" i="1"/>
  <c r="AA54" i="1"/>
  <c r="AA630" i="1"/>
  <c r="AA152" i="1"/>
  <c r="AA412" i="1"/>
  <c r="AA476" i="1"/>
  <c r="AA98" i="1"/>
  <c r="AA486" i="1"/>
  <c r="AA409" i="1"/>
  <c r="AA825" i="1"/>
  <c r="AA410" i="1"/>
  <c r="AA59" i="1"/>
  <c r="AA481" i="1"/>
  <c r="AA522" i="1"/>
  <c r="AA995" i="1"/>
  <c r="Z39" i="1"/>
  <c r="AA314" i="1"/>
  <c r="AA446" i="1"/>
  <c r="AA875" i="1"/>
  <c r="Z829" i="1"/>
  <c r="AA121" i="1"/>
  <c r="AA502" i="1"/>
  <c r="Z808" i="1"/>
  <c r="Z520" i="1"/>
  <c r="AA929" i="1"/>
  <c r="AA931" i="1"/>
  <c r="AA159" i="1"/>
  <c r="Z273" i="1"/>
  <c r="AA2" i="1"/>
  <c r="Z77" i="1"/>
  <c r="AA163" i="1"/>
  <c r="AA184" i="1"/>
  <c r="Z328" i="1"/>
  <c r="Z407" i="1"/>
  <c r="AA628" i="1"/>
  <c r="AA925" i="1"/>
  <c r="AA430" i="1"/>
  <c r="AA679" i="1"/>
  <c r="AA1086" i="1"/>
  <c r="AA405" i="1"/>
  <c r="AA51" i="1"/>
  <c r="Z536" i="1"/>
  <c r="AA667" i="1"/>
  <c r="AA19" i="1"/>
  <c r="Z78" i="1"/>
  <c r="AA95" i="1"/>
  <c r="Z108" i="1"/>
  <c r="AA285" i="1"/>
  <c r="Z439" i="1"/>
  <c r="AA462" i="1"/>
  <c r="Z523" i="1"/>
  <c r="Z653" i="1"/>
  <c r="Z698" i="1"/>
  <c r="Z718" i="1"/>
  <c r="Z42" i="1"/>
  <c r="AA253" i="1"/>
  <c r="Z274" i="1"/>
  <c r="AA300" i="1"/>
  <c r="Z527" i="1"/>
  <c r="Z625" i="1"/>
  <c r="Z646" i="1"/>
  <c r="Z872" i="1"/>
  <c r="Z858" i="1"/>
  <c r="AA904" i="1"/>
  <c r="AA987" i="1"/>
  <c r="AA1076" i="1"/>
  <c r="Z654" i="1"/>
  <c r="AA913" i="1"/>
  <c r="AA103" i="1"/>
  <c r="Z36" i="1"/>
  <c r="AA218" i="1"/>
  <c r="AA474" i="1"/>
  <c r="AA616" i="1"/>
  <c r="Z1041" i="1"/>
  <c r="Z289" i="1"/>
  <c r="Z549" i="1"/>
  <c r="Z701" i="1"/>
  <c r="AA379" i="1"/>
  <c r="Z482" i="1"/>
  <c r="Z918" i="1"/>
  <c r="AJ36" i="1" s="1"/>
  <c r="Z487" i="1"/>
  <c r="AA761" i="1"/>
  <c r="AA312" i="1"/>
  <c r="Z568" i="1"/>
  <c r="Z851" i="1"/>
  <c r="AA952" i="1"/>
  <c r="Z73" i="1"/>
  <c r="AA85" i="1"/>
  <c r="AA839" i="1"/>
  <c r="Z145" i="1"/>
  <c r="AA82" i="1"/>
  <c r="AA460" i="1"/>
  <c r="Z8" i="1"/>
  <c r="AJ2" i="1" s="1"/>
  <c r="AA734" i="1"/>
  <c r="AA313" i="1"/>
  <c r="AA763" i="1"/>
  <c r="Z389" i="1"/>
  <c r="AA150" i="1"/>
  <c r="AA569" i="1"/>
  <c r="AA800" i="1"/>
  <c r="AA1079" i="1"/>
  <c r="Z1005" i="1"/>
  <c r="AA1036" i="1"/>
  <c r="Z468" i="1"/>
  <c r="AA923" i="1"/>
  <c r="AA906" i="1"/>
  <c r="AA349" i="1"/>
  <c r="AA655" i="1"/>
  <c r="Z451" i="1"/>
  <c r="AJ19" i="1" s="1"/>
  <c r="AA315" i="1"/>
  <c r="AA1080" i="1"/>
  <c r="AA175" i="1"/>
  <c r="Z142" i="1"/>
  <c r="AA384" i="1"/>
  <c r="AA817" i="1"/>
  <c r="Z723" i="1"/>
  <c r="Z828" i="1"/>
  <c r="Z663" i="1"/>
  <c r="Z35" i="1"/>
  <c r="Z143" i="1"/>
  <c r="Z656" i="1"/>
  <c r="Z101" i="1"/>
  <c r="AA211" i="1"/>
  <c r="AA670" i="1"/>
  <c r="Z222" i="1"/>
  <c r="AJ9" i="1" s="1"/>
  <c r="AA385" i="1"/>
  <c r="AA20" i="1"/>
  <c r="AA977" i="1"/>
  <c r="AA282" i="1"/>
  <c r="AA127" i="1"/>
  <c r="Z576" i="1"/>
  <c r="Z709" i="1"/>
  <c r="Z27" i="1"/>
  <c r="Z860" i="1"/>
  <c r="Z292" i="1"/>
  <c r="AA262" i="1"/>
  <c r="AA89" i="1"/>
  <c r="AA319" i="1"/>
  <c r="Z598" i="1"/>
  <c r="AJ25" i="1" s="1"/>
  <c r="Z1038" i="1"/>
  <c r="AA1078" i="1"/>
  <c r="AA404" i="1"/>
  <c r="Z442" i="1"/>
  <c r="Z43" i="1"/>
  <c r="Z863" i="1"/>
  <c r="Z1002" i="1"/>
  <c r="AA179" i="1"/>
  <c r="AA948" i="1"/>
  <c r="AA192" i="1"/>
  <c r="Z277" i="1"/>
  <c r="Z537" i="1"/>
  <c r="AA7" i="1"/>
  <c r="AA445" i="1"/>
  <c r="Z660" i="1"/>
  <c r="AA461" i="1"/>
  <c r="AA671" i="1"/>
  <c r="AA1090" i="1"/>
  <c r="AA249" i="1"/>
  <c r="Z432" i="1"/>
  <c r="AA467" i="1"/>
  <c r="AA669" i="1"/>
  <c r="Z859" i="1"/>
  <c r="AA23" i="1"/>
  <c r="AA137" i="1"/>
  <c r="Z415" i="1"/>
  <c r="AA449" i="1"/>
  <c r="Z519" i="1"/>
  <c r="Z548" i="1"/>
  <c r="AA611" i="1"/>
  <c r="Z290" i="1"/>
  <c r="AA306" i="1"/>
  <c r="AA348" i="1"/>
  <c r="AA396" i="1"/>
  <c r="Z438" i="1"/>
  <c r="Z864" i="1"/>
  <c r="Z1003" i="1"/>
  <c r="AA197" i="1"/>
  <c r="AA343" i="1"/>
  <c r="Z497" i="1"/>
  <c r="AA41" i="1"/>
  <c r="Z53" i="1"/>
  <c r="Z148" i="1"/>
  <c r="AA307" i="1"/>
  <c r="AA311" i="1"/>
  <c r="Z392" i="1"/>
  <c r="AA609" i="1"/>
  <c r="Z938" i="1"/>
  <c r="AA3" i="1"/>
  <c r="Z436" i="1"/>
  <c r="AA509" i="1"/>
  <c r="AA688" i="1"/>
  <c r="AA25" i="1"/>
  <c r="AA196" i="1"/>
  <c r="Z521" i="1"/>
  <c r="AA574" i="1"/>
  <c r="Z634" i="1"/>
  <c r="AA762" i="1"/>
  <c r="AA910" i="1"/>
  <c r="AA1074" i="1"/>
  <c r="AA258" i="1"/>
  <c r="AA345" i="1"/>
  <c r="AA374" i="1"/>
  <c r="Z128" i="1"/>
  <c r="AJ6" i="1" s="1"/>
  <c r="Z256" i="1"/>
  <c r="AJ12" i="1" s="1"/>
  <c r="Z215" i="1"/>
  <c r="Z339" i="1"/>
  <c r="AA612" i="1"/>
  <c r="Z857" i="1"/>
  <c r="AA956" i="1"/>
  <c r="AA413" i="1"/>
  <c r="AA477" i="1"/>
  <c r="AA252" i="1"/>
  <c r="AA658" i="1"/>
  <c r="Z26" i="1"/>
  <c r="Z93" i="1"/>
  <c r="Z383" i="1"/>
  <c r="Z514" i="1"/>
  <c r="AJ21" i="1" s="1"/>
  <c r="Z624" i="1"/>
  <c r="AA157" i="1"/>
  <c r="AA524" i="1"/>
  <c r="AA1094" i="1"/>
  <c r="AA203" i="1"/>
  <c r="AA494" i="1"/>
  <c r="AA286" i="1"/>
  <c r="AA123" i="1"/>
  <c r="AA50" i="1"/>
  <c r="AA802" i="1"/>
  <c r="AA363" i="1"/>
  <c r="AA824" i="1"/>
  <c r="AA919" i="1"/>
  <c r="AA595" i="1"/>
  <c r="AA1011" i="1"/>
  <c r="AA242" i="1"/>
  <c r="AA743" i="1"/>
  <c r="AA889" i="1"/>
  <c r="AA1044" i="1"/>
  <c r="AA151" i="1"/>
  <c r="AA167" i="1"/>
  <c r="AA912" i="1"/>
  <c r="AA13" i="1"/>
  <c r="Z74" i="1"/>
  <c r="Z105" i="1"/>
  <c r="Z268" i="1"/>
  <c r="AA926" i="1"/>
  <c r="Z876" i="1"/>
  <c r="AJ34" i="1" s="1"/>
  <c r="AA136" i="1"/>
  <c r="AA170" i="1"/>
  <c r="Z535" i="1"/>
  <c r="Z546" i="1"/>
  <c r="AA613" i="1"/>
  <c r="AA852" i="1"/>
  <c r="AA844" i="1"/>
  <c r="AA678" i="1"/>
  <c r="AA1081" i="1"/>
  <c r="AA697" i="1"/>
  <c r="AA117" i="1"/>
  <c r="AA645" i="1"/>
  <c r="AA377" i="1"/>
  <c r="AA518" i="1"/>
  <c r="AA726" i="1"/>
  <c r="AA302" i="1"/>
  <c r="AA883" i="1"/>
  <c r="AA940" i="1"/>
  <c r="AA769" i="1"/>
  <c r="AA1054" i="1"/>
  <c r="AA583" i="1"/>
  <c r="AA626" i="1"/>
  <c r="AA792" i="1"/>
  <c r="Z269" i="1"/>
  <c r="Z1083" i="1"/>
  <c r="Z204" i="1"/>
  <c r="Z323" i="1"/>
  <c r="Z577" i="1"/>
  <c r="Z932" i="1"/>
  <c r="AA71" i="1"/>
  <c r="AA1032" i="1"/>
  <c r="AA572" i="1"/>
  <c r="AA702" i="1"/>
  <c r="AA672" i="1"/>
  <c r="AA787" i="1"/>
  <c r="AA1087" i="1"/>
  <c r="Z49" i="1"/>
  <c r="Z209" i="1"/>
  <c r="AA507" i="1"/>
  <c r="AA260" i="1"/>
  <c r="AA459" i="1"/>
  <c r="AA191" i="1"/>
  <c r="AA91" i="1"/>
  <c r="AA765" i="1"/>
  <c r="AA336" i="1"/>
  <c r="AA397" i="1"/>
  <c r="AA6" i="1"/>
  <c r="AA811" i="1"/>
  <c r="AA1091" i="1"/>
  <c r="Z20" i="1"/>
  <c r="Z124" i="1"/>
  <c r="Z697" i="1"/>
  <c r="Z1085" i="1"/>
  <c r="Z117" i="1"/>
  <c r="Z152" i="1"/>
  <c r="Z455" i="1"/>
  <c r="Z622" i="1"/>
  <c r="Z996" i="1"/>
  <c r="Z476" i="1"/>
  <c r="Z703" i="1"/>
  <c r="Z98" i="1"/>
  <c r="Z302" i="1"/>
  <c r="Z1023" i="1"/>
  <c r="Z169" i="1"/>
  <c r="Z162" i="1"/>
  <c r="Z650" i="1"/>
  <c r="Z685" i="1"/>
  <c r="Z883" i="1"/>
  <c r="Z132" i="1"/>
  <c r="Z481" i="1"/>
  <c r="Z153" i="1"/>
  <c r="Z72" i="1"/>
  <c r="Z201" i="1"/>
  <c r="Z473" i="1"/>
  <c r="Z1067" i="1"/>
  <c r="Z404" i="1"/>
  <c r="Z825" i="1"/>
  <c r="Z728" i="1"/>
  <c r="Z940" i="1"/>
  <c r="Z110" i="1"/>
  <c r="Z208" i="1"/>
  <c r="Z413" i="1"/>
  <c r="Z596" i="1"/>
  <c r="Z131" i="1"/>
  <c r="Z252" i="1"/>
  <c r="Z599" i="1"/>
  <c r="Z658" i="1"/>
  <c r="Z919" i="1"/>
  <c r="Z977" i="1"/>
  <c r="Z1032" i="1"/>
  <c r="Z123" i="1"/>
  <c r="Z679" i="1"/>
  <c r="Z445" i="1"/>
  <c r="Z412" i="1"/>
  <c r="Z484" i="1"/>
  <c r="Z726" i="1"/>
  <c r="Z776" i="1"/>
  <c r="Z390" i="1"/>
  <c r="Z365" i="1"/>
  <c r="Z844" i="1"/>
  <c r="Z1081" i="1"/>
  <c r="Z125" i="1"/>
  <c r="Z121" i="1"/>
  <c r="Z434" i="1"/>
  <c r="Z659" i="1"/>
  <c r="Z1086" i="1"/>
  <c r="Z735" i="1"/>
  <c r="Z1049" i="1"/>
  <c r="Z52" i="1"/>
  <c r="Z485" i="1"/>
  <c r="Z784" i="1"/>
  <c r="Z456" i="1"/>
  <c r="Z984" i="1"/>
  <c r="Z652" i="1"/>
  <c r="Z884" i="1"/>
  <c r="Z744" i="1"/>
  <c r="Z897" i="1"/>
  <c r="Z242" i="1"/>
  <c r="Z254" i="1"/>
  <c r="Z429" i="1"/>
  <c r="Z477" i="1"/>
  <c r="Z1084" i="1"/>
  <c r="Z225" i="1"/>
  <c r="Z1024" i="1"/>
  <c r="Z1054" i="1"/>
  <c r="Z50" i="1"/>
  <c r="Z341" i="1"/>
  <c r="Z410" i="1"/>
  <c r="Z460" i="1"/>
  <c r="Z702" i="1"/>
  <c r="Z7" i="1"/>
  <c r="Z120" i="1"/>
  <c r="Z430" i="1"/>
  <c r="Z578" i="1"/>
  <c r="Z207" i="1"/>
  <c r="Z573" i="1"/>
  <c r="Z33" i="1"/>
  <c r="Z189" i="1"/>
  <c r="Z999" i="1"/>
  <c r="Z678" i="1"/>
  <c r="Z704" i="1"/>
  <c r="Z59" i="1"/>
  <c r="Z433" i="1"/>
  <c r="Z475" i="1"/>
  <c r="Z363" i="1"/>
  <c r="Z466" i="1"/>
  <c r="Z409" i="1"/>
  <c r="Z1011" i="1"/>
  <c r="Z405" i="1"/>
  <c r="Z480" i="1"/>
  <c r="Z993" i="1"/>
  <c r="Z1048" i="1"/>
  <c r="Z645" i="1"/>
  <c r="Z995" i="1"/>
  <c r="Z824" i="1"/>
  <c r="Z494" i="1"/>
  <c r="Z631" i="1"/>
  <c r="Z682" i="1"/>
  <c r="Z282" i="1"/>
  <c r="Z743" i="1"/>
  <c r="Z286" i="1"/>
  <c r="Z775" i="1"/>
  <c r="Z226" i="1"/>
  <c r="Z592" i="1"/>
  <c r="Z981" i="1"/>
  <c r="Z85" i="1"/>
  <c r="Z583" i="1"/>
  <c r="Z626" i="1"/>
  <c r="Z377" i="1"/>
  <c r="Z630" i="1"/>
  <c r="Z385" i="1"/>
  <c r="Z518" i="1"/>
  <c r="Z840" i="1"/>
  <c r="Z852" i="1"/>
  <c r="Z802" i="1"/>
  <c r="Z244" i="1"/>
  <c r="Z595" i="1"/>
  <c r="Z833" i="1"/>
  <c r="Z1089" i="1"/>
  <c r="Z486" i="1"/>
  <c r="Z426" i="1"/>
  <c r="Z221" i="1"/>
  <c r="Z684" i="1"/>
  <c r="Z998" i="1"/>
  <c r="Z243" i="1"/>
  <c r="Z119" i="1"/>
  <c r="Z420" i="1"/>
  <c r="Z435" i="1"/>
  <c r="Z522" i="1"/>
  <c r="Z589" i="1"/>
  <c r="Z1092" i="1"/>
  <c r="Z51" i="1"/>
  <c r="Z54" i="1"/>
  <c r="Z472" i="1"/>
  <c r="Z76" i="1"/>
  <c r="Z203" i="1"/>
  <c r="Z591" i="1"/>
  <c r="Z769" i="1"/>
  <c r="Z424" i="1"/>
  <c r="Z127" i="1"/>
  <c r="Z889" i="1"/>
  <c r="Z1044" i="1"/>
  <c r="Z379" i="1"/>
  <c r="Z572" i="1"/>
  <c r="Z792" i="1"/>
  <c r="AS3" i="1" l="1" a="1"/>
  <c r="AS3" i="1" s="1"/>
  <c r="AO2" i="1"/>
  <c r="AO4" i="1" a="1"/>
  <c r="AO4" i="1" s="1"/>
  <c r="AP5" i="1" a="1"/>
  <c r="AP5" i="1" s="1"/>
  <c r="AO8" i="1" a="1"/>
  <c r="AO8" i="1" s="1"/>
  <c r="AP9" i="1" a="1"/>
  <c r="AP9" i="1" s="1"/>
  <c r="AO12" i="1" a="1"/>
  <c r="AO12" i="1" s="1"/>
  <c r="AP13" i="1" a="1"/>
  <c r="AP13" i="1" s="1"/>
  <c r="AO16" i="1" a="1"/>
  <c r="AO16" i="1" s="1"/>
  <c r="AP17" i="1" a="1"/>
  <c r="AP17" i="1" s="1"/>
  <c r="AP19" i="1" a="1"/>
  <c r="AP19" i="1" s="1"/>
  <c r="AP21" i="1" a="1"/>
  <c r="AP21" i="1" s="1"/>
  <c r="AP23" i="1" a="1"/>
  <c r="AP23" i="1" s="1"/>
  <c r="AP25" i="1" a="1"/>
  <c r="AP25" i="1" s="1"/>
  <c r="AP27" i="1" a="1"/>
  <c r="AP27" i="1" s="1"/>
  <c r="AP29" i="1" a="1"/>
  <c r="AP29" i="1" s="1"/>
  <c r="AP31" i="1" a="1"/>
  <c r="AP31" i="1" s="1"/>
  <c r="AP33" i="1" a="1"/>
  <c r="AP33" i="1" s="1"/>
  <c r="AP35" i="1" a="1"/>
  <c r="AP35" i="1" s="1"/>
  <c r="AP37" i="1" a="1"/>
  <c r="AP37" i="1" s="1"/>
  <c r="AP41" i="1" a="1"/>
  <c r="AP41" i="1" s="1"/>
  <c r="AP26" i="1" a="1"/>
  <c r="AP26" i="1" s="1"/>
  <c r="AP32" i="1" a="1"/>
  <c r="AP32" i="1" s="1"/>
  <c r="AP38" i="1" a="1"/>
  <c r="AP38" i="1" s="1"/>
  <c r="AO3" i="1" a="1"/>
  <c r="AO3" i="1" s="1"/>
  <c r="AP4" i="1" a="1"/>
  <c r="AP4" i="1" s="1"/>
  <c r="AO7" i="1" a="1"/>
  <c r="AO7" i="1" s="1"/>
  <c r="AP8" i="1" a="1"/>
  <c r="AP8" i="1" s="1"/>
  <c r="AO11" i="1" a="1"/>
  <c r="AO11" i="1" s="1"/>
  <c r="AP12" i="1" a="1"/>
  <c r="AP12" i="1" s="1"/>
  <c r="AO15" i="1" a="1"/>
  <c r="AO15" i="1" s="1"/>
  <c r="AP16" i="1" a="1"/>
  <c r="AP16" i="1" s="1"/>
  <c r="AO18" i="1" a="1"/>
  <c r="AO18" i="1" s="1"/>
  <c r="AO20" i="1" a="1"/>
  <c r="AO20" i="1" s="1"/>
  <c r="AO22" i="1" a="1"/>
  <c r="AO22" i="1" s="1"/>
  <c r="AO24" i="1" a="1"/>
  <c r="AO24" i="1" s="1"/>
  <c r="AO26" i="1" a="1"/>
  <c r="AO26" i="1" s="1"/>
  <c r="AO28" i="1" a="1"/>
  <c r="AO28" i="1" s="1"/>
  <c r="AO30" i="1" a="1"/>
  <c r="AO30" i="1" s="1"/>
  <c r="AO32" i="1" a="1"/>
  <c r="AO32" i="1" s="1"/>
  <c r="AO34" i="1" a="1"/>
  <c r="AO34" i="1" s="1"/>
  <c r="AO36" i="1" a="1"/>
  <c r="AO36" i="1" s="1"/>
  <c r="AO38" i="1" a="1"/>
  <c r="AO38" i="1" s="1"/>
  <c r="AO40" i="1" a="1"/>
  <c r="AO40" i="1" s="1"/>
  <c r="AO42" i="1" a="1"/>
  <c r="AO42" i="1" s="1"/>
  <c r="AP15" i="1" a="1"/>
  <c r="AP15" i="1" s="1"/>
  <c r="AP18" i="1" a="1"/>
  <c r="AP18" i="1" s="1"/>
  <c r="AP20" i="1" a="1"/>
  <c r="AP20" i="1" s="1"/>
  <c r="AP22" i="1" a="1"/>
  <c r="AP22" i="1" s="1"/>
  <c r="AP28" i="1" a="1"/>
  <c r="AP28" i="1" s="1"/>
  <c r="AP36" i="1" a="1"/>
  <c r="AP36" i="1" s="1"/>
  <c r="AP42" i="1" a="1"/>
  <c r="AP42" i="1" s="1"/>
  <c r="AP3" i="1" a="1"/>
  <c r="AP3" i="1" s="1"/>
  <c r="AO6" i="1" a="1"/>
  <c r="AO6" i="1" s="1"/>
  <c r="AP7" i="1" a="1"/>
  <c r="AP7" i="1" s="1"/>
  <c r="AO10" i="1" a="1"/>
  <c r="AO10" i="1" s="1"/>
  <c r="AP11" i="1" a="1"/>
  <c r="AP11" i="1" s="1"/>
  <c r="AO14" i="1" a="1"/>
  <c r="AO14" i="1" s="1"/>
  <c r="AO5" i="1" a="1"/>
  <c r="AO5" i="1" s="1"/>
  <c r="AP6" i="1" a="1"/>
  <c r="AP6" i="1" s="1"/>
  <c r="AO9" i="1" a="1"/>
  <c r="AO9" i="1" s="1"/>
  <c r="AP10" i="1" a="1"/>
  <c r="AP10" i="1" s="1"/>
  <c r="AO13" i="1" a="1"/>
  <c r="AO13" i="1" s="1"/>
  <c r="AP14" i="1" a="1"/>
  <c r="AP14" i="1" s="1"/>
  <c r="AO17" i="1" a="1"/>
  <c r="AO17" i="1" s="1"/>
  <c r="AO19" i="1" a="1"/>
  <c r="AO19" i="1" s="1"/>
  <c r="AO21" i="1" a="1"/>
  <c r="AO21" i="1" s="1"/>
  <c r="AO23" i="1" a="1"/>
  <c r="AO23" i="1" s="1"/>
  <c r="AO25" i="1" a="1"/>
  <c r="AO25" i="1" s="1"/>
  <c r="AO27" i="1" a="1"/>
  <c r="AO27" i="1" s="1"/>
  <c r="AO29" i="1" a="1"/>
  <c r="AO29" i="1" s="1"/>
  <c r="AO31" i="1" a="1"/>
  <c r="AO31" i="1" s="1"/>
  <c r="AO33" i="1" a="1"/>
  <c r="AO33" i="1" s="1"/>
  <c r="AO35" i="1" a="1"/>
  <c r="AO35" i="1" s="1"/>
  <c r="AO37" i="1" a="1"/>
  <c r="AO37" i="1" s="1"/>
  <c r="AO39" i="1" a="1"/>
  <c r="AO39" i="1" s="1"/>
  <c r="AO41" i="1" a="1"/>
  <c r="AO41" i="1" s="1"/>
  <c r="AP2" i="1" a="1"/>
  <c r="AP2" i="1" s="1"/>
  <c r="AP39" i="1" a="1"/>
  <c r="AP39" i="1" s="1"/>
  <c r="AP24" i="1" a="1"/>
  <c r="AP24" i="1" s="1"/>
  <c r="AP30" i="1" a="1"/>
  <c r="AP30" i="1" s="1"/>
  <c r="AP34" i="1" a="1"/>
  <c r="AP34" i="1" s="1"/>
  <c r="AP40" i="1" a="1"/>
  <c r="AP40" i="1" s="1"/>
  <c r="AT39" i="1" a="1"/>
  <c r="AT39" i="1" s="1"/>
  <c r="AT31" i="1" a="1"/>
  <c r="AT31" i="1" s="1"/>
  <c r="AT23" i="1" a="1"/>
  <c r="AT23" i="1" s="1"/>
  <c r="AT15" i="1" a="1"/>
  <c r="AT15" i="1" s="1"/>
  <c r="AT7" i="1" a="1"/>
  <c r="AT7" i="1" s="1"/>
  <c r="AS41" i="1" a="1"/>
  <c r="AS41" i="1" s="1"/>
  <c r="AS33" i="1" a="1"/>
  <c r="AS33" i="1" s="1"/>
  <c r="AS25" i="1" a="1"/>
  <c r="AS25" i="1" s="1"/>
  <c r="AS17" i="1" a="1"/>
  <c r="AS17" i="1" s="1"/>
  <c r="AS9" i="1" a="1"/>
  <c r="AS9" i="1" s="1"/>
  <c r="AT40" i="1" a="1"/>
  <c r="AT40" i="1" s="1"/>
  <c r="AT32" i="1" a="1"/>
  <c r="AT32" i="1" s="1"/>
  <c r="AT24" i="1" a="1"/>
  <c r="AT24" i="1" s="1"/>
  <c r="AT16" i="1" a="1"/>
  <c r="AT16" i="1" s="1"/>
  <c r="AT8" i="1" a="1"/>
  <c r="AT8" i="1" s="1"/>
  <c r="AS40" i="1" a="1"/>
  <c r="AS40" i="1" s="1"/>
  <c r="AS32" i="1" a="1"/>
  <c r="AS32" i="1" s="1"/>
  <c r="AS24" i="1" a="1"/>
  <c r="AS24" i="1" s="1"/>
  <c r="AS16" i="1" a="1"/>
  <c r="AS16" i="1" s="1"/>
  <c r="AS8" i="1" a="1"/>
  <c r="AS8" i="1" s="1"/>
  <c r="AT37" i="1" a="1"/>
  <c r="AT37" i="1" s="1"/>
  <c r="AT29" i="1" a="1"/>
  <c r="AT29" i="1" s="1"/>
  <c r="AT21" i="1" a="1"/>
  <c r="AT21" i="1" s="1"/>
  <c r="AT13" i="1" a="1"/>
  <c r="AT13" i="1" s="1"/>
  <c r="AT5" i="1" a="1"/>
  <c r="AT5" i="1" s="1"/>
  <c r="AS39" i="1" a="1"/>
  <c r="AS39" i="1" s="1"/>
  <c r="AS31" i="1" a="1"/>
  <c r="AS31" i="1" s="1"/>
  <c r="AS23" i="1" a="1"/>
  <c r="AS23" i="1" s="1"/>
  <c r="AS15" i="1" a="1"/>
  <c r="AS15" i="1" s="1"/>
  <c r="AS7" i="1" a="1"/>
  <c r="AS7" i="1" s="1"/>
  <c r="AT38" i="1" a="1"/>
  <c r="AT38" i="1" s="1"/>
  <c r="AT30" i="1" a="1"/>
  <c r="AT30" i="1" s="1"/>
  <c r="AT22" i="1" a="1"/>
  <c r="AT22" i="1" s="1"/>
  <c r="AT14" i="1" a="1"/>
  <c r="AT14" i="1" s="1"/>
  <c r="AT6" i="1" a="1"/>
  <c r="AT6" i="1" s="1"/>
  <c r="AS38" i="1" a="1"/>
  <c r="AS38" i="1" s="1"/>
  <c r="AS30" i="1" a="1"/>
  <c r="AS30" i="1" s="1"/>
  <c r="AS22" i="1" a="1"/>
  <c r="AS22" i="1" s="1"/>
  <c r="AS14" i="1" a="1"/>
  <c r="AS14" i="1" s="1"/>
  <c r="AS6" i="1" a="1"/>
  <c r="AS6" i="1" s="1"/>
  <c r="AT35" i="1" a="1"/>
  <c r="AT35" i="1" s="1"/>
  <c r="AT27" i="1" a="1"/>
  <c r="AT27" i="1" s="1"/>
  <c r="AT19" i="1" a="1"/>
  <c r="AT19" i="1" s="1"/>
  <c r="AT11" i="1" a="1"/>
  <c r="AT11" i="1" s="1"/>
  <c r="AS4" i="1" a="1"/>
  <c r="AS4" i="1" s="1"/>
  <c r="AS37" i="1" a="1"/>
  <c r="AS37" i="1" s="1"/>
  <c r="AS29" i="1" a="1"/>
  <c r="AS29" i="1" s="1"/>
  <c r="AS21" i="1" a="1"/>
  <c r="AS21" i="1" s="1"/>
  <c r="AS13" i="1" a="1"/>
  <c r="AS13" i="1" s="1"/>
  <c r="AS5" i="1" a="1"/>
  <c r="AS5" i="1" s="1"/>
  <c r="AT36" i="1" a="1"/>
  <c r="AT36" i="1" s="1"/>
  <c r="AT28" i="1" a="1"/>
  <c r="AT28" i="1" s="1"/>
  <c r="AT20" i="1" a="1"/>
  <c r="AT20" i="1" s="1"/>
  <c r="AT12" i="1" a="1"/>
  <c r="AT12" i="1" s="1"/>
  <c r="AT3" i="1" a="1"/>
  <c r="AT3" i="1" s="1"/>
  <c r="AS36" i="1" a="1"/>
  <c r="AS36" i="1" s="1"/>
  <c r="AS28" i="1" a="1"/>
  <c r="AS28" i="1" s="1"/>
  <c r="AS20" i="1" a="1"/>
  <c r="AS20" i="1" s="1"/>
  <c r="AS12" i="1" a="1"/>
  <c r="AS12" i="1" s="1"/>
  <c r="AT4" i="1" a="1"/>
  <c r="AT4" i="1" s="1"/>
  <c r="AS2" i="1" a="1"/>
  <c r="AS2" i="1" s="1"/>
  <c r="AT41" i="1" a="1"/>
  <c r="AT41" i="1" s="1"/>
  <c r="AT33" i="1" a="1"/>
  <c r="AT33" i="1" s="1"/>
  <c r="AT25" i="1" a="1"/>
  <c r="AT25" i="1" s="1"/>
  <c r="AT17" i="1" a="1"/>
  <c r="AT17" i="1" s="1"/>
  <c r="AT9" i="1" a="1"/>
  <c r="AT9" i="1" s="1"/>
  <c r="AT2" i="1" a="1"/>
  <c r="AT2" i="1" s="1"/>
  <c r="AS35" i="1" a="1"/>
  <c r="AS35" i="1" s="1"/>
  <c r="AS27" i="1" a="1"/>
  <c r="AS27" i="1" s="1"/>
  <c r="AS19" i="1" a="1"/>
  <c r="AS19" i="1" s="1"/>
  <c r="AS11" i="1" a="1"/>
  <c r="AS11" i="1" s="1"/>
  <c r="AT42" i="1" a="1"/>
  <c r="AT42" i="1" s="1"/>
  <c r="AT34" i="1" a="1"/>
  <c r="AT34" i="1" s="1"/>
  <c r="AT26" i="1" a="1"/>
  <c r="AT26" i="1" s="1"/>
  <c r="AT18" i="1" a="1"/>
  <c r="AT18" i="1" s="1"/>
  <c r="AT10" i="1" a="1"/>
  <c r="AT10" i="1" s="1"/>
  <c r="AS42" i="1" a="1"/>
  <c r="AS42" i="1" s="1"/>
  <c r="AS34" i="1" a="1"/>
  <c r="AS34" i="1" s="1"/>
  <c r="AS26" i="1" a="1"/>
  <c r="AS26" i="1" s="1"/>
  <c r="AS18" i="1" a="1"/>
  <c r="AS18" i="1" s="1"/>
  <c r="AS10" i="1" a="1"/>
  <c r="AS10" i="1" s="1"/>
  <c r="AJ40" i="1"/>
  <c r="AJ20" i="1"/>
  <c r="AJ37" i="1"/>
  <c r="AJ15" i="1"/>
  <c r="AJ41" i="1"/>
  <c r="AJ8" i="1"/>
  <c r="AJ13" i="1"/>
  <c r="AJ5" i="1"/>
  <c r="AJ22" i="1"/>
  <c r="AJ23" i="1"/>
  <c r="AJ4" i="1"/>
  <c r="AJ14" i="1"/>
  <c r="BA5" i="1" a="1"/>
  <c r="BA5" i="1" s="1"/>
  <c r="BB39" i="1" a="1"/>
  <c r="BB39" i="1" s="1"/>
  <c r="BB33" i="1" a="1"/>
  <c r="BB33" i="1" s="1"/>
  <c r="BB29" i="1" a="1"/>
  <c r="BB29" i="1" s="1"/>
  <c r="BB25" i="1" a="1"/>
  <c r="BB25" i="1" s="1"/>
  <c r="BB21" i="1" a="1"/>
  <c r="BB21" i="1" s="1"/>
  <c r="BB17" i="1" a="1"/>
  <c r="BB17" i="1" s="1"/>
  <c r="BB13" i="1" a="1"/>
  <c r="BB13" i="1" s="1"/>
  <c r="BB9" i="1" a="1"/>
  <c r="BB9" i="1" s="1"/>
  <c r="BB4" i="1" a="1"/>
  <c r="BB4" i="1" s="1"/>
  <c r="BA40" i="1" a="1"/>
  <c r="BA40" i="1" s="1"/>
  <c r="BA37" i="1" a="1"/>
  <c r="BA37" i="1" s="1"/>
  <c r="BA33" i="1" a="1"/>
  <c r="BA33" i="1" s="1"/>
  <c r="BA29" i="1" a="1"/>
  <c r="BA29" i="1" s="1"/>
  <c r="BA25" i="1" a="1"/>
  <c r="BA25" i="1" s="1"/>
  <c r="BA21" i="1" a="1"/>
  <c r="BA21" i="1" s="1"/>
  <c r="BA17" i="1" a="1"/>
  <c r="BA17" i="1" s="1"/>
  <c r="BA13" i="1" a="1"/>
  <c r="BA13" i="1" s="1"/>
  <c r="BA9" i="1" a="1"/>
  <c r="BA9" i="1" s="1"/>
  <c r="BA4" i="1" a="1"/>
  <c r="BA4" i="1" s="1"/>
  <c r="BB5" i="1" a="1"/>
  <c r="BB5" i="1" s="1"/>
  <c r="AJ3" i="1"/>
  <c r="AJ18" i="1"/>
  <c r="BA3" i="1" a="1"/>
  <c r="BA3" i="1" s="1"/>
  <c r="BB36" i="1" a="1"/>
  <c r="BB36" i="1" s="1"/>
  <c r="BB32" i="1" a="1"/>
  <c r="BB32" i="1" s="1"/>
  <c r="BB28" i="1" a="1"/>
  <c r="BB28" i="1" s="1"/>
  <c r="BB24" i="1" a="1"/>
  <c r="BB24" i="1" s="1"/>
  <c r="BB20" i="1" a="1"/>
  <c r="BB20" i="1" s="1"/>
  <c r="BB16" i="1" a="1"/>
  <c r="BB16" i="1" s="1"/>
  <c r="BB12" i="1" a="1"/>
  <c r="BB12" i="1" s="1"/>
  <c r="BB8" i="1" a="1"/>
  <c r="BB8" i="1" s="1"/>
  <c r="BB40" i="1" a="1"/>
  <c r="BB40" i="1" s="1"/>
  <c r="BA41" i="1" a="1"/>
  <c r="BA41" i="1" s="1"/>
  <c r="BA36" i="1" a="1"/>
  <c r="BA36" i="1" s="1"/>
  <c r="BA32" i="1" a="1"/>
  <c r="BA32" i="1" s="1"/>
  <c r="BA28" i="1" a="1"/>
  <c r="BA28" i="1" s="1"/>
  <c r="BA24" i="1" a="1"/>
  <c r="BA24" i="1" s="1"/>
  <c r="BA20" i="1" a="1"/>
  <c r="BA20" i="1" s="1"/>
  <c r="BA16" i="1" a="1"/>
  <c r="BA16" i="1" s="1"/>
  <c r="BA12" i="1" a="1"/>
  <c r="BA12" i="1" s="1"/>
  <c r="BA8" i="1" a="1"/>
  <c r="BA8" i="1" s="1"/>
  <c r="BB41" i="1" a="1"/>
  <c r="BB41" i="1" s="1"/>
  <c r="BB3" i="1" a="1"/>
  <c r="BB3" i="1" s="1"/>
  <c r="AJ32" i="1"/>
  <c r="AJ27" i="1"/>
  <c r="AJ28" i="1"/>
  <c r="AW3" i="1" a="1"/>
  <c r="AW3" i="1" s="1"/>
  <c r="AW5" i="1" a="1"/>
  <c r="AW5" i="1" s="1"/>
  <c r="AX7" i="1" a="1"/>
  <c r="AX7" i="1" s="1"/>
  <c r="AX8" i="1" a="1"/>
  <c r="AX8" i="1" s="1"/>
  <c r="AX9" i="1" a="1"/>
  <c r="AX9" i="1" s="1"/>
  <c r="AX10" i="1" a="1"/>
  <c r="AX10" i="1" s="1"/>
  <c r="AX11" i="1" a="1"/>
  <c r="AX11" i="1" s="1"/>
  <c r="AX12" i="1" a="1"/>
  <c r="AX12" i="1" s="1"/>
  <c r="AX13" i="1" a="1"/>
  <c r="AX13" i="1" s="1"/>
  <c r="AX14" i="1" a="1"/>
  <c r="AX14" i="1" s="1"/>
  <c r="AX15" i="1" a="1"/>
  <c r="AX15" i="1" s="1"/>
  <c r="AX16" i="1" a="1"/>
  <c r="AX16" i="1" s="1"/>
  <c r="AX17" i="1" a="1"/>
  <c r="AX17" i="1" s="1"/>
  <c r="AX18" i="1" a="1"/>
  <c r="AX18" i="1" s="1"/>
  <c r="AX19" i="1" a="1"/>
  <c r="AX19" i="1" s="1"/>
  <c r="AX20" i="1" a="1"/>
  <c r="AX20" i="1" s="1"/>
  <c r="AX21" i="1" a="1"/>
  <c r="AX21" i="1" s="1"/>
  <c r="AX22" i="1" a="1"/>
  <c r="AX22" i="1" s="1"/>
  <c r="AX23" i="1" a="1"/>
  <c r="AX23" i="1" s="1"/>
  <c r="AX24" i="1" a="1"/>
  <c r="AX24" i="1" s="1"/>
  <c r="AX25" i="1" a="1"/>
  <c r="AX25" i="1" s="1"/>
  <c r="AX26" i="1" a="1"/>
  <c r="AX26" i="1" s="1"/>
  <c r="AX27" i="1" a="1"/>
  <c r="AX27" i="1" s="1"/>
  <c r="AX28" i="1" a="1"/>
  <c r="AX28" i="1" s="1"/>
  <c r="AX29" i="1" a="1"/>
  <c r="AX29" i="1" s="1"/>
  <c r="AX30" i="1" a="1"/>
  <c r="AX30" i="1" s="1"/>
  <c r="AX31" i="1" a="1"/>
  <c r="AX31" i="1" s="1"/>
  <c r="AX32" i="1" a="1"/>
  <c r="AX32" i="1" s="1"/>
  <c r="AX33" i="1" a="1"/>
  <c r="AX33" i="1" s="1"/>
  <c r="AX34" i="1" a="1"/>
  <c r="AX34" i="1" s="1"/>
  <c r="AX35" i="1" a="1"/>
  <c r="AX35" i="1" s="1"/>
  <c r="AX36" i="1" a="1"/>
  <c r="AX36" i="1" s="1"/>
  <c r="AX37" i="1" a="1"/>
  <c r="AX37" i="1" s="1"/>
  <c r="AX38" i="1" a="1"/>
  <c r="AX38" i="1" s="1"/>
  <c r="AX39" i="1" a="1"/>
  <c r="AX39" i="1" s="1"/>
  <c r="AX41" i="1" a="1"/>
  <c r="AX41" i="1" s="1"/>
  <c r="AX40" i="1" a="1"/>
  <c r="AX40" i="1" s="1"/>
  <c r="AX42" i="1" a="1"/>
  <c r="AX42" i="1" s="1"/>
  <c r="AW2" i="1" a="1"/>
  <c r="AW2" i="1" s="1"/>
  <c r="AW37" i="1" a="1"/>
  <c r="AW37" i="1" s="1"/>
  <c r="AW40" i="1" a="1"/>
  <c r="AW40" i="1" s="1"/>
  <c r="AX3" i="1" a="1"/>
  <c r="AX3" i="1" s="1"/>
  <c r="AX5" i="1" a="1"/>
  <c r="AX5" i="1" s="1"/>
  <c r="AX2" i="1" a="1"/>
  <c r="AX2" i="1" s="1"/>
  <c r="AW39" i="1" a="1"/>
  <c r="AW39" i="1" s="1"/>
  <c r="AW42" i="1" a="1"/>
  <c r="AW42" i="1" s="1"/>
  <c r="AW4" i="1" a="1"/>
  <c r="AW4" i="1" s="1"/>
  <c r="AW6" i="1" a="1"/>
  <c r="AW6" i="1" s="1"/>
  <c r="AW38" i="1" a="1"/>
  <c r="AW38" i="1" s="1"/>
  <c r="AX4" i="1" a="1"/>
  <c r="AX4" i="1" s="1"/>
  <c r="AX6" i="1" a="1"/>
  <c r="AX6" i="1" s="1"/>
  <c r="AW7" i="1" a="1"/>
  <c r="AW7" i="1" s="1"/>
  <c r="AW8" i="1" a="1"/>
  <c r="AW8" i="1" s="1"/>
  <c r="AW9" i="1" a="1"/>
  <c r="AW9" i="1" s="1"/>
  <c r="AW10" i="1" a="1"/>
  <c r="AW10" i="1" s="1"/>
  <c r="AW11" i="1" a="1"/>
  <c r="AW11" i="1" s="1"/>
  <c r="AW12" i="1" a="1"/>
  <c r="AW12" i="1" s="1"/>
  <c r="AW13" i="1" a="1"/>
  <c r="AW13" i="1" s="1"/>
  <c r="AW14" i="1" a="1"/>
  <c r="AW14" i="1" s="1"/>
  <c r="AW15" i="1" a="1"/>
  <c r="AW15" i="1" s="1"/>
  <c r="AW16" i="1" a="1"/>
  <c r="AW16" i="1" s="1"/>
  <c r="AW17" i="1" a="1"/>
  <c r="AW17" i="1" s="1"/>
  <c r="AW18" i="1" a="1"/>
  <c r="AW18" i="1" s="1"/>
  <c r="AW19" i="1" a="1"/>
  <c r="AW19" i="1" s="1"/>
  <c r="AW20" i="1" a="1"/>
  <c r="AW20" i="1" s="1"/>
  <c r="AW21" i="1" a="1"/>
  <c r="AW21" i="1" s="1"/>
  <c r="AW22" i="1" a="1"/>
  <c r="AW22" i="1" s="1"/>
  <c r="AW23" i="1" a="1"/>
  <c r="AW23" i="1" s="1"/>
  <c r="AW24" i="1" a="1"/>
  <c r="AW24" i="1" s="1"/>
  <c r="AW25" i="1" a="1"/>
  <c r="AW25" i="1" s="1"/>
  <c r="AW26" i="1" a="1"/>
  <c r="AW26" i="1" s="1"/>
  <c r="AW27" i="1" a="1"/>
  <c r="AW27" i="1" s="1"/>
  <c r="AW28" i="1" a="1"/>
  <c r="AW28" i="1" s="1"/>
  <c r="AW29" i="1" a="1"/>
  <c r="AW29" i="1" s="1"/>
  <c r="AW30" i="1" a="1"/>
  <c r="AW30" i="1" s="1"/>
  <c r="AW31" i="1" a="1"/>
  <c r="AW31" i="1" s="1"/>
  <c r="AW32" i="1" a="1"/>
  <c r="AW32" i="1" s="1"/>
  <c r="AW33" i="1" a="1"/>
  <c r="AW33" i="1" s="1"/>
  <c r="AW34" i="1" a="1"/>
  <c r="AW34" i="1" s="1"/>
  <c r="AW35" i="1" a="1"/>
  <c r="AW35" i="1" s="1"/>
  <c r="AW36" i="1" a="1"/>
  <c r="AW36" i="1" s="1"/>
  <c r="AW41" i="1" a="1"/>
  <c r="AW41" i="1" s="1"/>
  <c r="BB2" i="1" a="1"/>
  <c r="BB2" i="1" s="1"/>
  <c r="BG2" i="1" s="1"/>
  <c r="BB35" i="1" a="1"/>
  <c r="BB35" i="1" s="1"/>
  <c r="BB31" i="1" a="1"/>
  <c r="BB31" i="1" s="1"/>
  <c r="BB27" i="1" a="1"/>
  <c r="BB27" i="1" s="1"/>
  <c r="BG27" i="1" s="1"/>
  <c r="BB23" i="1" a="1"/>
  <c r="BB23" i="1" s="1"/>
  <c r="BG23" i="1" s="1"/>
  <c r="BB19" i="1" a="1"/>
  <c r="BB19" i="1" s="1"/>
  <c r="BG19" i="1" s="1"/>
  <c r="BB15" i="1" a="1"/>
  <c r="BB15" i="1" s="1"/>
  <c r="BG15" i="1" s="1"/>
  <c r="BB11" i="1" a="1"/>
  <c r="BB11" i="1" s="1"/>
  <c r="BG11" i="1" s="1"/>
  <c r="BB7" i="1" a="1"/>
  <c r="BB7" i="1" s="1"/>
  <c r="BG7" i="1" s="1"/>
  <c r="BB38" i="1" a="1"/>
  <c r="BB38" i="1" s="1"/>
  <c r="BG38" i="1" s="1"/>
  <c r="BA39" i="1" a="1"/>
  <c r="BA39" i="1" s="1"/>
  <c r="BA35" i="1" a="1"/>
  <c r="BA35" i="1" s="1"/>
  <c r="BA31" i="1" a="1"/>
  <c r="BA31" i="1" s="1"/>
  <c r="BA27" i="1" a="1"/>
  <c r="BA27" i="1" s="1"/>
  <c r="BA23" i="1" a="1"/>
  <c r="BA23" i="1" s="1"/>
  <c r="BA19" i="1" a="1"/>
  <c r="BA19" i="1" s="1"/>
  <c r="BA15" i="1" a="1"/>
  <c r="BA15" i="1" s="1"/>
  <c r="BA11" i="1" a="1"/>
  <c r="BA11" i="1" s="1"/>
  <c r="BA7" i="1" a="1"/>
  <c r="BA7" i="1" s="1"/>
  <c r="BB37" i="1" a="1"/>
  <c r="BB37" i="1" s="1"/>
  <c r="BG37" i="1" s="1"/>
  <c r="BB42" i="1" a="1"/>
  <c r="BB42" i="1" s="1"/>
  <c r="BG42" i="1" s="1"/>
  <c r="BB34" i="1" a="1"/>
  <c r="BB34" i="1" s="1"/>
  <c r="BG34" i="1" s="1"/>
  <c r="BB30" i="1" a="1"/>
  <c r="BB30" i="1" s="1"/>
  <c r="BG30" i="1" s="1"/>
  <c r="BB26" i="1" a="1"/>
  <c r="BB26" i="1" s="1"/>
  <c r="BG26" i="1" s="1"/>
  <c r="BB22" i="1" a="1"/>
  <c r="BB22" i="1" s="1"/>
  <c r="BG22" i="1" s="1"/>
  <c r="BB18" i="1" a="1"/>
  <c r="BB18" i="1" s="1"/>
  <c r="BG18" i="1" s="1"/>
  <c r="BB14" i="1" a="1"/>
  <c r="BB14" i="1" s="1"/>
  <c r="BG14" i="1" s="1"/>
  <c r="BB10" i="1" a="1"/>
  <c r="BB10" i="1" s="1"/>
  <c r="BG10" i="1" s="1"/>
  <c r="BB6" i="1" a="1"/>
  <c r="BB6" i="1" s="1"/>
  <c r="BG6" i="1" s="1"/>
  <c r="BA42" i="1" a="1"/>
  <c r="BA42" i="1" s="1"/>
  <c r="BA38" i="1" a="1"/>
  <c r="BA38" i="1" s="1"/>
  <c r="BA34" i="1" a="1"/>
  <c r="BA34" i="1" s="1"/>
  <c r="BA30" i="1" a="1"/>
  <c r="BA30" i="1" s="1"/>
  <c r="BA26" i="1" a="1"/>
  <c r="BA26" i="1" s="1"/>
  <c r="BA22" i="1" a="1"/>
  <c r="BA22" i="1" s="1"/>
  <c r="BA18" i="1" a="1"/>
  <c r="BA18" i="1" s="1"/>
  <c r="BA14" i="1" a="1"/>
  <c r="BA14" i="1" s="1"/>
  <c r="BA10" i="1" a="1"/>
  <c r="BA10" i="1" s="1"/>
  <c r="BA6" i="1" a="1"/>
  <c r="BA6" i="1" s="1"/>
  <c r="BA2" i="1" a="1"/>
  <c r="BA2" i="1" s="1"/>
  <c r="AJ33" i="1"/>
  <c r="AJ17" i="1"/>
  <c r="BF19" i="1"/>
  <c r="BF5" i="1"/>
  <c r="BF21" i="1"/>
  <c r="BF7" i="1"/>
  <c r="BF4" i="1"/>
  <c r="BF39" i="1"/>
  <c r="BF30" i="1"/>
  <c r="BF18" i="1"/>
  <c r="BF36" i="1"/>
  <c r="BF35" i="1"/>
  <c r="BF20" i="1"/>
  <c r="AJ26" i="1"/>
  <c r="BF26" i="1"/>
  <c r="BF13" i="1"/>
  <c r="BF29" i="1"/>
  <c r="BF15" i="1"/>
  <c r="BF32" i="1"/>
  <c r="BF12" i="1"/>
  <c r="BF14" i="1"/>
  <c r="BF38" i="1"/>
  <c r="BF22" i="1"/>
  <c r="BF40" i="1"/>
  <c r="BF10" i="1"/>
  <c r="BF28" i="1"/>
  <c r="BF2" i="1"/>
  <c r="BF27" i="1"/>
  <c r="BG31" i="1" l="1"/>
  <c r="BF24" i="1"/>
  <c r="BF41" i="1"/>
  <c r="BF6" i="1"/>
  <c r="BF9" i="1"/>
  <c r="BF31" i="1"/>
  <c r="BF42" i="1"/>
  <c r="BF3" i="1"/>
  <c r="BF33" i="1"/>
  <c r="BF16" i="1"/>
  <c r="BG35" i="1"/>
  <c r="BF25" i="1"/>
  <c r="BF8" i="1"/>
  <c r="BF17" i="1"/>
  <c r="BF23" i="1"/>
  <c r="BF34" i="1"/>
  <c r="BG3" i="1"/>
  <c r="BG8" i="1"/>
  <c r="BG24" i="1"/>
  <c r="BG13" i="1"/>
  <c r="BG29" i="1"/>
  <c r="BG41" i="1"/>
  <c r="BG12" i="1"/>
  <c r="BG28" i="1"/>
  <c r="BG17" i="1"/>
  <c r="BG33" i="1"/>
  <c r="BF37" i="1"/>
  <c r="BG16" i="1"/>
  <c r="BG32" i="1"/>
  <c r="BG4" i="1"/>
  <c r="BG21" i="1"/>
  <c r="BG39" i="1"/>
  <c r="BG40" i="1"/>
  <c r="BG20" i="1"/>
  <c r="BG36" i="1"/>
  <c r="BG5" i="1"/>
  <c r="BG9" i="1"/>
  <c r="BG25" i="1"/>
  <c r="BF11" i="1"/>
</calcChain>
</file>

<file path=xl/sharedStrings.xml><?xml version="1.0" encoding="utf-8"?>
<sst xmlns="http://schemas.openxmlformats.org/spreadsheetml/2006/main" count="6246" uniqueCount="1238">
  <si>
    <t>Completeness</t>
  </si>
  <si>
    <t>Dean's Microsite</t>
  </si>
  <si>
    <t>FU16</t>
  </si>
  <si>
    <t>Platanus raynoldsii</t>
  </si>
  <si>
    <t>DMNH22280</t>
  </si>
  <si>
    <t>palmate</t>
  </si>
  <si>
    <t>DMNH22284</t>
  </si>
  <si>
    <t>DMNH22285</t>
  </si>
  <si>
    <t>DMNH22281</t>
  </si>
  <si>
    <t>DMNH22282</t>
  </si>
  <si>
    <t>DMNH22288</t>
  </si>
  <si>
    <t>DMNH22286</t>
  </si>
  <si>
    <t>DMNH22287</t>
  </si>
  <si>
    <t>Marmarth Ash</t>
  </si>
  <si>
    <t>DMNH21912</t>
  </si>
  <si>
    <t>DMNH21915</t>
  </si>
  <si>
    <t>Das Goods</t>
  </si>
  <si>
    <t>FU29</t>
  </si>
  <si>
    <t>Dicotylophyllum anomalum</t>
  </si>
  <si>
    <t>DMNH22706</t>
  </si>
  <si>
    <t>pinnate</t>
  </si>
  <si>
    <t>DMNH20038</t>
  </si>
  <si>
    <t>DMNH22705</t>
  </si>
  <si>
    <t>DMNH22718</t>
  </si>
  <si>
    <t>Mickey's Delite</t>
  </si>
  <si>
    <t>DMNH21935</t>
  </si>
  <si>
    <t>DMNH21936</t>
  </si>
  <si>
    <t>DMNH21940</t>
  </si>
  <si>
    <t>DMNH21971</t>
  </si>
  <si>
    <t>DMNH21988 (1)</t>
  </si>
  <si>
    <t>DMNH21988 (2)</t>
  </si>
  <si>
    <t>DMNH21990 (1)</t>
  </si>
  <si>
    <t>DMNH21990 (2)</t>
  </si>
  <si>
    <t>DMNH21934</t>
  </si>
  <si>
    <t>DMNH21938</t>
  </si>
  <si>
    <t>DMNH21939</t>
  </si>
  <si>
    <t>DMNH21942</t>
  </si>
  <si>
    <t>DMNH21943</t>
  </si>
  <si>
    <t>DMNH21944</t>
  </si>
  <si>
    <t>DMNH21946</t>
  </si>
  <si>
    <t>DMNH21967</t>
  </si>
  <si>
    <t>DMNH21968</t>
  </si>
  <si>
    <t>DMNH21969</t>
  </si>
  <si>
    <t>DMNH21970</t>
  </si>
  <si>
    <t>DMNH21972</t>
  </si>
  <si>
    <t>DMNH21973</t>
  </si>
  <si>
    <t>DMNH21987</t>
  </si>
  <si>
    <t>DMNH20030</t>
  </si>
  <si>
    <t>DMNH22596</t>
  </si>
  <si>
    <t>DMNH22597</t>
  </si>
  <si>
    <t>DMNH22599</t>
  </si>
  <si>
    <t>DMNH22605</t>
  </si>
  <si>
    <t>DMNH22608</t>
  </si>
  <si>
    <t>DMNH22611</t>
  </si>
  <si>
    <t>DMNH22612</t>
  </si>
  <si>
    <t>DMNH22614</t>
  </si>
  <si>
    <t>DMNH22615</t>
  </si>
  <si>
    <t>DMNH22617</t>
  </si>
  <si>
    <t>DMNH22619</t>
  </si>
  <si>
    <t>DMNH22620</t>
  </si>
  <si>
    <t>DMNH22621</t>
  </si>
  <si>
    <t>DMNH22622</t>
  </si>
  <si>
    <t>DMNH22610</t>
  </si>
  <si>
    <t>DMNH22624</t>
  </si>
  <si>
    <t>FU31</t>
  </si>
  <si>
    <t>Cornophyllum newberryi</t>
  </si>
  <si>
    <t>DMNH22040</t>
  </si>
  <si>
    <t>DMNH22039</t>
  </si>
  <si>
    <t>DMNH22041</t>
  </si>
  <si>
    <t>DMNH21862</t>
  </si>
  <si>
    <t>DMNH21881</t>
  </si>
  <si>
    <t>DMNH21886</t>
  </si>
  <si>
    <t>DMNH21893</t>
  </si>
  <si>
    <t>DMNH21954</t>
  </si>
  <si>
    <t>DMNH21959</t>
  </si>
  <si>
    <t>DMNH21980</t>
  </si>
  <si>
    <t>DMNH21947</t>
  </si>
  <si>
    <t>DMNH21950</t>
  </si>
  <si>
    <t>DMNH21951</t>
  </si>
  <si>
    <t>DMNH21952</t>
  </si>
  <si>
    <t>DMNH21953</t>
  </si>
  <si>
    <t>DMNH21958</t>
  </si>
  <si>
    <t>DMNH21960</t>
  </si>
  <si>
    <t>DMNH21961</t>
  </si>
  <si>
    <t>DMNH21962</t>
  </si>
  <si>
    <t>DMNH21963</t>
  </si>
  <si>
    <t>DMNH21965</t>
  </si>
  <si>
    <t>DMNH21966</t>
  </si>
  <si>
    <t>DMNH21978</t>
  </si>
  <si>
    <t>DMNH21979</t>
  </si>
  <si>
    <t>Wet Butte</t>
  </si>
  <si>
    <t>DMNH20602</t>
  </si>
  <si>
    <t>DMNH22016</t>
  </si>
  <si>
    <t>FU43</t>
  </si>
  <si>
    <t>Ziziphoides flabella</t>
  </si>
  <si>
    <t>DMNH21870</t>
  </si>
  <si>
    <t>DMNH21872</t>
  </si>
  <si>
    <t>DMNH21874</t>
  </si>
  <si>
    <t>DMNH20043</t>
  </si>
  <si>
    <t>DMNH20045</t>
  </si>
  <si>
    <t>DMNH21680</t>
  </si>
  <si>
    <t>DMNH21861</t>
  </si>
  <si>
    <t>DMNH21863</t>
  </si>
  <si>
    <t>DMNH21864</t>
  </si>
  <si>
    <t>DMNH21868</t>
  </si>
  <si>
    <t>DMNH21871</t>
  </si>
  <si>
    <t>DMNH21876</t>
  </si>
  <si>
    <t>DMNH21877</t>
  </si>
  <si>
    <t>DMNH21878</t>
  </si>
  <si>
    <t>DMNH21897</t>
  </si>
  <si>
    <t>DMNH22000</t>
  </si>
  <si>
    <t>FU5</t>
  </si>
  <si>
    <t>Cercidiphyllum genetrix</t>
  </si>
  <si>
    <t>DMNH21900</t>
  </si>
  <si>
    <t>DMNH20042</t>
  </si>
  <si>
    <t>DMNH21903</t>
  </si>
  <si>
    <t>DMNH21905</t>
  </si>
  <si>
    <t>FU7</t>
  </si>
  <si>
    <t>DMNH22690</t>
  </si>
  <si>
    <t>DMNH22692</t>
  </si>
  <si>
    <t>DMNH22693</t>
  </si>
  <si>
    <t>DMNH22694</t>
  </si>
  <si>
    <t>DMNH22695</t>
  </si>
  <si>
    <t>DMNH22009</t>
  </si>
  <si>
    <t>DMNH22024</t>
  </si>
  <si>
    <t>DMNH22025</t>
  </si>
  <si>
    <t>DMNH22008</t>
  </si>
  <si>
    <t>DMNH22010</t>
  </si>
  <si>
    <t>DMNH22011</t>
  </si>
  <si>
    <t>DMNH22023</t>
  </si>
  <si>
    <t>DMNH20056</t>
  </si>
  <si>
    <t>DMNH22012</t>
  </si>
  <si>
    <t>DMNH22017</t>
  </si>
  <si>
    <t>DMNH22018</t>
  </si>
  <si>
    <t>DMNH22020</t>
  </si>
  <si>
    <t>DMNH21882</t>
  </si>
  <si>
    <t>DMNH21921</t>
  </si>
  <si>
    <t>DMNH21916</t>
  </si>
  <si>
    <t>DMNH21917</t>
  </si>
  <si>
    <t>DMNH21918</t>
  </si>
  <si>
    <t>DMNH21920</t>
  </si>
  <si>
    <t>DMNH21923</t>
  </si>
  <si>
    <t>DMNH21925</t>
  </si>
  <si>
    <t>DMNH21929</t>
  </si>
  <si>
    <t>DMNH21933</t>
  </si>
  <si>
    <t>DMNH21986</t>
  </si>
  <si>
    <t>DMNH22575</t>
  </si>
  <si>
    <t>DMNH22593</t>
  </si>
  <si>
    <t>DMNH22595</t>
  </si>
  <si>
    <t>DMNH22566</t>
  </si>
  <si>
    <t>DMNH22577</t>
  </si>
  <si>
    <t>DMNH22578</t>
  </si>
  <si>
    <t>DMNH22585</t>
  </si>
  <si>
    <t>DMNH22586</t>
  </si>
  <si>
    <t>Mud Butte</t>
  </si>
  <si>
    <t>HC1</t>
  </si>
  <si>
    <t>Platanites marginata (lateral leaflet)</t>
  </si>
  <si>
    <t>DMNH20247</t>
  </si>
  <si>
    <t>DMNH20248</t>
  </si>
  <si>
    <t>DMNH20250</t>
  </si>
  <si>
    <t>DMNH20251</t>
  </si>
  <si>
    <t>T-Rex Stan</t>
  </si>
  <si>
    <t>DMNH6225</t>
  </si>
  <si>
    <t>DMNH6227</t>
  </si>
  <si>
    <t>DMNH6229</t>
  </si>
  <si>
    <t>DMNH20396</t>
  </si>
  <si>
    <t>DMNH21551</t>
  </si>
  <si>
    <t>YPM8568</t>
  </si>
  <si>
    <t>YPM8907</t>
  </si>
  <si>
    <t>YPM9083</t>
  </si>
  <si>
    <t>HC103</t>
  </si>
  <si>
    <t>Trochodendroides nebrascensis</t>
  </si>
  <si>
    <t>DMNH7708</t>
  </si>
  <si>
    <t>DMNH20616</t>
  </si>
  <si>
    <t>DMNH8413</t>
  </si>
  <si>
    <t>DMNH8450</t>
  </si>
  <si>
    <t>DMNH8451</t>
  </si>
  <si>
    <t>DMNH8466</t>
  </si>
  <si>
    <t>YPM6925</t>
  </si>
  <si>
    <t>YPM9118</t>
  </si>
  <si>
    <t>Battleship</t>
  </si>
  <si>
    <t>HC105</t>
  </si>
  <si>
    <t>Marmarthia trivialis</t>
  </si>
  <si>
    <t>DMNH7630</t>
  </si>
  <si>
    <t>DMNH7205</t>
  </si>
  <si>
    <t>DMNH7245</t>
  </si>
  <si>
    <t>DMNH7246</t>
  </si>
  <si>
    <t>DMNH7253</t>
  </si>
  <si>
    <t>DMNH7283</t>
  </si>
  <si>
    <t>DMNH7618</t>
  </si>
  <si>
    <t>Dean's Hadrosaur</t>
  </si>
  <si>
    <t>DMNH20408</t>
  </si>
  <si>
    <t>DMNH19992</t>
  </si>
  <si>
    <t>DMNH20407</t>
  </si>
  <si>
    <t>DMNH20411</t>
  </si>
  <si>
    <t>DMNH20414</t>
  </si>
  <si>
    <t>DMNH20415</t>
  </si>
  <si>
    <t>DMNH13600</t>
  </si>
  <si>
    <t>DMNH13601</t>
  </si>
  <si>
    <t>DMNH13602</t>
  </si>
  <si>
    <t>DMNH13607</t>
  </si>
  <si>
    <t>DMNH13612</t>
  </si>
  <si>
    <t>DMNH13614</t>
  </si>
  <si>
    <t>DMNH20159</t>
  </si>
  <si>
    <t>DMNH20160</t>
  </si>
  <si>
    <t>DMNH20161</t>
  </si>
  <si>
    <t>DMNH20310</t>
  </si>
  <si>
    <t>DMNH7558</t>
  </si>
  <si>
    <t>DMNH13603</t>
  </si>
  <si>
    <t>DMNH13605</t>
  </si>
  <si>
    <t>DMNH13606</t>
  </si>
  <si>
    <t>DMNH13608</t>
  </si>
  <si>
    <t>DMNH13611</t>
  </si>
  <si>
    <t>DMNH13615</t>
  </si>
  <si>
    <t>DMNH13618</t>
  </si>
  <si>
    <t>DMNH20064</t>
  </si>
  <si>
    <t>DMNH20158</t>
  </si>
  <si>
    <t>DMNH20162</t>
  </si>
  <si>
    <t>DMNH20163</t>
  </si>
  <si>
    <t>DMNH20722</t>
  </si>
  <si>
    <t>DMNH20723</t>
  </si>
  <si>
    <t>DMNH20724</t>
  </si>
  <si>
    <t>DMNH6188</t>
  </si>
  <si>
    <t>DMNH6189</t>
  </si>
  <si>
    <t>DMNH6192</t>
  </si>
  <si>
    <t>DMNH6193</t>
  </si>
  <si>
    <t>DMNH6785</t>
  </si>
  <si>
    <t>DMNH6859</t>
  </si>
  <si>
    <t>DMNH7391</t>
  </si>
  <si>
    <t>DMNH7420</t>
  </si>
  <si>
    <t>DMNH7434</t>
  </si>
  <si>
    <t>DMNH7459</t>
  </si>
  <si>
    <t>DMNH7468</t>
  </si>
  <si>
    <t>DMNH7520</t>
  </si>
  <si>
    <t>DMNH7521</t>
  </si>
  <si>
    <t>DMNH7541</t>
  </si>
  <si>
    <t>DMNH7549</t>
  </si>
  <si>
    <t>DMNH7573</t>
  </si>
  <si>
    <t>DMNH7576</t>
  </si>
  <si>
    <t>DMNH7585</t>
  </si>
  <si>
    <t>DMNH6195</t>
  </si>
  <si>
    <t>DMNH6196</t>
  </si>
  <si>
    <t>DMNH6197</t>
  </si>
  <si>
    <t>DMNH6198</t>
  </si>
  <si>
    <t>DMNH6199</t>
  </si>
  <si>
    <t>DMNH6201</t>
  </si>
  <si>
    <t>DMNH6202</t>
  </si>
  <si>
    <t>DMNH21767</t>
  </si>
  <si>
    <t>DMNH7322</t>
  </si>
  <si>
    <t>YPM6348</t>
  </si>
  <si>
    <t>YPM6376</t>
  </si>
  <si>
    <t>YPM8620</t>
  </si>
  <si>
    <t>HC106</t>
  </si>
  <si>
    <t>Platanites marginata</t>
  </si>
  <si>
    <t>DMNH20253</t>
  </si>
  <si>
    <t>DMNH20260</t>
  </si>
  <si>
    <t>DMNH20262</t>
  </si>
  <si>
    <t>DMNH7470</t>
  </si>
  <si>
    <t>DMNH8598</t>
  </si>
  <si>
    <t>DMNH20254</t>
  </si>
  <si>
    <t>DMNH20256</t>
  </si>
  <si>
    <t>DMNH20261</t>
  </si>
  <si>
    <t>DMNH20263</t>
  </si>
  <si>
    <t>DMNH20730</t>
  </si>
  <si>
    <t>DMNH20731</t>
  </si>
  <si>
    <t>DMNH6773</t>
  </si>
  <si>
    <t>DMNH6833</t>
  </si>
  <si>
    <t>DMNH6839</t>
  </si>
  <si>
    <t>DMNH6847</t>
  </si>
  <si>
    <t>DMNH6876</t>
  </si>
  <si>
    <t>DMNH7472</t>
  </si>
  <si>
    <t>DMNH7485</t>
  </si>
  <si>
    <t>DMNH7550</t>
  </si>
  <si>
    <t>DMNH7570</t>
  </si>
  <si>
    <t>DMNH7571</t>
  </si>
  <si>
    <t>DMNH7572</t>
  </si>
  <si>
    <t>Steph's Locality</t>
  </si>
  <si>
    <t>DMNH8467</t>
  </si>
  <si>
    <t>DMNH8469</t>
  </si>
  <si>
    <t>DMNH8472</t>
  </si>
  <si>
    <t>DMNH8474</t>
  </si>
  <si>
    <t>DMNH8476</t>
  </si>
  <si>
    <t>DMNH8477</t>
  </si>
  <si>
    <t>DMNH8468</t>
  </si>
  <si>
    <t>DMNH8475</t>
  </si>
  <si>
    <t>DMNH6217</t>
  </si>
  <si>
    <t>DMNH6218</t>
  </si>
  <si>
    <t>DMNH6219</t>
  </si>
  <si>
    <t>DMNH6220</t>
  </si>
  <si>
    <t>DMNH6221</t>
  </si>
  <si>
    <t>DMNH6224</t>
  </si>
  <si>
    <t>DMNH6226</t>
  </si>
  <si>
    <t>DMNH6228</t>
  </si>
  <si>
    <t>DMNH6230</t>
  </si>
  <si>
    <t>DMNH6231</t>
  </si>
  <si>
    <t>DMNH6232</t>
  </si>
  <si>
    <t>DMNH6233</t>
  </si>
  <si>
    <t>DMNH6234</t>
  </si>
  <si>
    <t>DMNH21545</t>
  </si>
  <si>
    <t>DMNH21581</t>
  </si>
  <si>
    <t>DMNH7334</t>
  </si>
  <si>
    <t>DMNH7647</t>
  </si>
  <si>
    <t>DMNH8470</t>
  </si>
  <si>
    <t>HC111</t>
  </si>
  <si>
    <t>Paranymphaea hastata</t>
  </si>
  <si>
    <t>DMNH8717</t>
  </si>
  <si>
    <t>DMNH6851</t>
  </si>
  <si>
    <t>DMNH20077</t>
  </si>
  <si>
    <t>DMNH20083</t>
  </si>
  <si>
    <t>DMNH21736</t>
  </si>
  <si>
    <t>DMNH21738</t>
  </si>
  <si>
    <t>DMNH21746</t>
  </si>
  <si>
    <t>Madeline's Bank</t>
  </si>
  <si>
    <t>HC135</t>
  </si>
  <si>
    <t>DMNH18895</t>
  </si>
  <si>
    <t>DMNH18905</t>
  </si>
  <si>
    <t>DMNH18907</t>
  </si>
  <si>
    <t>DMNH18910 (1)</t>
  </si>
  <si>
    <t>DMNH18910 (2)</t>
  </si>
  <si>
    <t>DMNH18919 (1)</t>
  </si>
  <si>
    <t>DMNH18919 (2)</t>
  </si>
  <si>
    <t>DMNH18920</t>
  </si>
  <si>
    <t>DMNH19035</t>
  </si>
  <si>
    <t>DMNH18885</t>
  </si>
  <si>
    <t>DMNH18887</t>
  </si>
  <si>
    <t>DMNH18888</t>
  </si>
  <si>
    <t>DMNH18890</t>
  </si>
  <si>
    <t>DMNH18892</t>
  </si>
  <si>
    <t>DMNH18893</t>
  </si>
  <si>
    <t>DMNH18894</t>
  </si>
  <si>
    <t>DMNH18900</t>
  </si>
  <si>
    <t>DMNH18901</t>
  </si>
  <si>
    <t>DMNH18902</t>
  </si>
  <si>
    <t>DMNH18903</t>
  </si>
  <si>
    <t>DMNH18904</t>
  </si>
  <si>
    <t>DMNH18906</t>
  </si>
  <si>
    <t>DMNH18908</t>
  </si>
  <si>
    <t>DMNH18909</t>
  </si>
  <si>
    <t>DMNH18912</t>
  </si>
  <si>
    <t>DMNH18913</t>
  </si>
  <si>
    <t>DMNH18914</t>
  </si>
  <si>
    <t>DMNH18915</t>
  </si>
  <si>
    <t>DMNH18917</t>
  </si>
  <si>
    <t>DMNH18918</t>
  </si>
  <si>
    <t>DMNH18897</t>
  </si>
  <si>
    <t>DMNH19728</t>
  </si>
  <si>
    <t>DMNH21226</t>
  </si>
  <si>
    <t>HC162</t>
  </si>
  <si>
    <t>Marmarthia pearsonii</t>
  </si>
  <si>
    <t>DMNH20393</t>
  </si>
  <si>
    <t>DMNH20395</t>
  </si>
  <si>
    <t>DMNH20476</t>
  </si>
  <si>
    <t>DMNH7163</t>
  </si>
  <si>
    <t>DMNH7165</t>
  </si>
  <si>
    <t>DMNH7166</t>
  </si>
  <si>
    <t>DMNH7233</t>
  </si>
  <si>
    <t>DMNH7247</t>
  </si>
  <si>
    <t>DMNH7250</t>
  </si>
  <si>
    <t>DMNH7309</t>
  </si>
  <si>
    <t>DMNH7321</t>
  </si>
  <si>
    <t>DMNH8657</t>
  </si>
  <si>
    <t>DMNH8713</t>
  </si>
  <si>
    <t>DMNH13657</t>
  </si>
  <si>
    <t>DMNH13659</t>
  </si>
  <si>
    <t>DMNH20166</t>
  </si>
  <si>
    <t>DMNH20167</t>
  </si>
  <si>
    <t>DMNH7502</t>
  </si>
  <si>
    <t>DMNH7703</t>
  </si>
  <si>
    <t>DMNH6213</t>
  </si>
  <si>
    <t>DMNH7713</t>
  </si>
  <si>
    <t>DMNH9713</t>
  </si>
  <si>
    <t>HC166</t>
  </si>
  <si>
    <t>Liriodendrites bradacii</t>
  </si>
  <si>
    <t>DMNH13529</t>
  </si>
  <si>
    <t>DMNH13579</t>
  </si>
  <si>
    <t>DMNH20171</t>
  </si>
  <si>
    <t>DMNH20173</t>
  </si>
  <si>
    <t>DMNH20181</t>
  </si>
  <si>
    <t>DMNH20184</t>
  </si>
  <si>
    <t>DMNH7488</t>
  </si>
  <si>
    <t>DMNH7707</t>
  </si>
  <si>
    <t>DMNH13519</t>
  </si>
  <si>
    <t>DMNH13521</t>
  </si>
  <si>
    <t>DMNH13523</t>
  </si>
  <si>
    <t>DMNH13524</t>
  </si>
  <si>
    <t>DMNH13525</t>
  </si>
  <si>
    <t>DMNH13527</t>
  </si>
  <si>
    <t>DMNH13576</t>
  </si>
  <si>
    <t>DMNH13577</t>
  </si>
  <si>
    <t>DMNH13582</t>
  </si>
  <si>
    <t>DMNH13585</t>
  </si>
  <si>
    <t>DMNH13586</t>
  </si>
  <si>
    <t>DMNH20169</t>
  </si>
  <si>
    <t>DMNH20172</t>
  </si>
  <si>
    <t>DMNH20175</t>
  </si>
  <si>
    <t>DMNH20176</t>
  </si>
  <si>
    <t>DMNH20177</t>
  </si>
  <si>
    <t>DMNH20180</t>
  </si>
  <si>
    <t>DMNH20182</t>
  </si>
  <si>
    <t>DMNH20183</t>
  </si>
  <si>
    <t>DMNH20185</t>
  </si>
  <si>
    <t>DMNH6175</t>
  </si>
  <si>
    <t>DMNH6176</t>
  </si>
  <si>
    <t>DMNH6178</t>
  </si>
  <si>
    <t>DMNH6843</t>
  </si>
  <si>
    <t>DMNH6877</t>
  </si>
  <si>
    <t>DMNH6880</t>
  </si>
  <si>
    <t>DMNH6881</t>
  </si>
  <si>
    <t>DMNH6882</t>
  </si>
  <si>
    <t>DMNH6883</t>
  </si>
  <si>
    <t>DMNH6885</t>
  </si>
  <si>
    <t>DMNH6886</t>
  </si>
  <si>
    <t>DMNH6887</t>
  </si>
  <si>
    <t>DMNH6888</t>
  </si>
  <si>
    <t>DMNH6893</t>
  </si>
  <si>
    <t>DMNH7409</t>
  </si>
  <si>
    <t>DMNH7429</t>
  </si>
  <si>
    <t>DMNH7469</t>
  </si>
  <si>
    <t>DMNH7486</t>
  </si>
  <si>
    <t>DMNH7533</t>
  </si>
  <si>
    <t>DMNH7697</t>
  </si>
  <si>
    <t>DMNH7699</t>
  </si>
  <si>
    <t>HC169</t>
  </si>
  <si>
    <t>DMNH7543</t>
  </si>
  <si>
    <t>DMNH20220</t>
  </si>
  <si>
    <t>DMNH20221</t>
  </si>
  <si>
    <t>DMNH20225</t>
  </si>
  <si>
    <t>DMNH20226</t>
  </si>
  <si>
    <t>DMNH20228</t>
  </si>
  <si>
    <t>DMNH6766</t>
  </si>
  <si>
    <t>DMNH6787</t>
  </si>
  <si>
    <t>DMNH7400</t>
  </si>
  <si>
    <t>DMNH7447</t>
  </si>
  <si>
    <t>DMNH7494</t>
  </si>
  <si>
    <t>DMNH7496</t>
  </si>
  <si>
    <t>DMNH7534</t>
  </si>
  <si>
    <t>DMNH19893</t>
  </si>
  <si>
    <t>HC199</t>
  </si>
  <si>
    <t>Laurales</t>
  </si>
  <si>
    <t>DMNH20209</t>
  </si>
  <si>
    <t xml:space="preserve">Laurales </t>
  </si>
  <si>
    <t>DMNH20211</t>
  </si>
  <si>
    <t>DMNH6774</t>
  </si>
  <si>
    <t>DMNH7544</t>
  </si>
  <si>
    <t>DMNH7564</t>
  </si>
  <si>
    <t>DMNH13620</t>
  </si>
  <si>
    <t>DMNH13621</t>
  </si>
  <si>
    <t>DMNH13622</t>
  </si>
  <si>
    <t>DMNH13625</t>
  </si>
  <si>
    <t>DMNH13628</t>
  </si>
  <si>
    <t>DMNH13629</t>
  </si>
  <si>
    <t>DMNH13630</t>
  </si>
  <si>
    <t>DMNH13631</t>
  </si>
  <si>
    <t>DMNH13632</t>
  </si>
  <si>
    <t>DMNH13633</t>
  </si>
  <si>
    <t>DMNH13638</t>
  </si>
  <si>
    <t>DMNH13641</t>
  </si>
  <si>
    <t>DMNH13643</t>
  </si>
  <si>
    <t>DMNH13645</t>
  </si>
  <si>
    <t>DMNH20059</t>
  </si>
  <si>
    <t>DMNH20190</t>
  </si>
  <si>
    <t>DMNH20191</t>
  </si>
  <si>
    <t>DMNH20192</t>
  </si>
  <si>
    <t>DMNH20195</t>
  </si>
  <si>
    <t>DMNH20200</t>
  </si>
  <si>
    <t>DMNH20201</t>
  </si>
  <si>
    <t>DMNH20203</t>
  </si>
  <si>
    <t>DMNH20204</t>
  </si>
  <si>
    <t>DMNH20207</t>
  </si>
  <si>
    <t>DMNH20210</t>
  </si>
  <si>
    <t>DMNH20212</t>
  </si>
  <si>
    <t>DMNH6726</t>
  </si>
  <si>
    <t>DMNH6756</t>
  </si>
  <si>
    <t>DMNH6778</t>
  </si>
  <si>
    <t>DMNH6845</t>
  </si>
  <si>
    <t>DMNH6866</t>
  </si>
  <si>
    <t>DMNH6884</t>
  </si>
  <si>
    <t>DMNH6896</t>
  </si>
  <si>
    <t>DMNH6914</t>
  </si>
  <si>
    <t>DMNH6915</t>
  </si>
  <si>
    <t>DMNH6924</t>
  </si>
  <si>
    <t>DMNH7424</t>
  </si>
  <si>
    <t>DMNH7440</t>
  </si>
  <si>
    <t>DMNH7471</t>
  </si>
  <si>
    <t>DMNH7497</t>
  </si>
  <si>
    <t>DMNH7581</t>
  </si>
  <si>
    <t>HC2</t>
  </si>
  <si>
    <t>Grewiopsis saportana</t>
  </si>
  <si>
    <t>DMNH7272</t>
  </si>
  <si>
    <t>DMNH7172</t>
  </si>
  <si>
    <t>DMNH7186</t>
  </si>
  <si>
    <t>DMNH7188</t>
  </si>
  <si>
    <t>DMNH7189</t>
  </si>
  <si>
    <t>DMNH7195</t>
  </si>
  <si>
    <t>DMNH7197</t>
  </si>
  <si>
    <t>DMNH7221</t>
  </si>
  <si>
    <t>DMNH7222</t>
  </si>
  <si>
    <t>DMNH7224</t>
  </si>
  <si>
    <t>DMNH7239</t>
  </si>
  <si>
    <t>DMNH7243</t>
  </si>
  <si>
    <t>DMNH7255</t>
  </si>
  <si>
    <t>DMNH7261</t>
  </si>
  <si>
    <t>DMNH7275</t>
  </si>
  <si>
    <t>DMNH7308</t>
  </si>
  <si>
    <t>DMNH7319</t>
  </si>
  <si>
    <t>DMNH7327</t>
  </si>
  <si>
    <t>DMNH7603</t>
  </si>
  <si>
    <t>DMNH7616</t>
  </si>
  <si>
    <t>DMNH7824</t>
  </si>
  <si>
    <t>DMNH7825</t>
  </si>
  <si>
    <t>DMNH20245</t>
  </si>
  <si>
    <t>DMNH6722</t>
  </si>
  <si>
    <t>DMNH20240</t>
  </si>
  <si>
    <t>DMNH20242</t>
  </si>
  <si>
    <t>DMNH20244</t>
  </si>
  <si>
    <t>DMNH20246</t>
  </si>
  <si>
    <t>DMNH6779</t>
  </si>
  <si>
    <t>DMNH6902</t>
  </si>
  <si>
    <t>Skunk Hunt</t>
  </si>
  <si>
    <t>DMNH4301</t>
  </si>
  <si>
    <t>DMNH20359</t>
  </si>
  <si>
    <t>DMNH21467</t>
  </si>
  <si>
    <t>DMNH21468</t>
  </si>
  <si>
    <t>DMNH7826</t>
  </si>
  <si>
    <t>YPM6525</t>
  </si>
  <si>
    <t>HC200</t>
  </si>
  <si>
    <t>Bisonia niemii</t>
  </si>
  <si>
    <t>DMNH19991</t>
  </si>
  <si>
    <t>DMNH20869</t>
  </si>
  <si>
    <t>DMNH20870</t>
  </si>
  <si>
    <t>DMNH20871</t>
  </si>
  <si>
    <t>DMNH20874</t>
  </si>
  <si>
    <t>DMNH20875</t>
  </si>
  <si>
    <t>DMNH20876</t>
  </si>
  <si>
    <t>DMNH20878</t>
  </si>
  <si>
    <t>DMNH20879</t>
  </si>
  <si>
    <t>DMNH20307</t>
  </si>
  <si>
    <t>DMNH6728</t>
  </si>
  <si>
    <t>DMNH6786</t>
  </si>
  <si>
    <t>DMNH20813</t>
  </si>
  <si>
    <t>DMNH20814</t>
  </si>
  <si>
    <t>DMNH6316</t>
  </si>
  <si>
    <t>DMNH6318</t>
  </si>
  <si>
    <t>DMNH16694</t>
  </si>
  <si>
    <t>DMNH6927</t>
  </si>
  <si>
    <t>Little Mound Of Glee</t>
  </si>
  <si>
    <t>HC212</t>
  </si>
  <si>
    <t>Cercidiphyllum ellipticum</t>
  </si>
  <si>
    <t>DMNH8572</t>
  </si>
  <si>
    <t>DMNH8565</t>
  </si>
  <si>
    <t>DMNH8573</t>
  </si>
  <si>
    <t>Marijuana</t>
  </si>
  <si>
    <t>DMNH13223</t>
  </si>
  <si>
    <t>DMNH13168</t>
  </si>
  <si>
    <t>DMNH19362</t>
  </si>
  <si>
    <t>DMNH19365</t>
  </si>
  <si>
    <t>DMNH19366</t>
  </si>
  <si>
    <t>DMNH19367</t>
  </si>
  <si>
    <t>DMNH19368</t>
  </si>
  <si>
    <t>DMNH20300</t>
  </si>
  <si>
    <t>DMNH13043</t>
  </si>
  <si>
    <t>Somebody's Garden</t>
  </si>
  <si>
    <t>DMNH19468</t>
  </si>
  <si>
    <t>Tapir Point</t>
  </si>
  <si>
    <t>DMNH18736</t>
  </si>
  <si>
    <t>DMNH18737</t>
  </si>
  <si>
    <t>DMNH19075</t>
  </si>
  <si>
    <t>HC224</t>
  </si>
  <si>
    <t>Rosidae</t>
  </si>
  <si>
    <t>DMNH19655</t>
  </si>
  <si>
    <t>DMNH19664</t>
  </si>
  <si>
    <t>DMNH19654</t>
  </si>
  <si>
    <t>DMNH19656</t>
  </si>
  <si>
    <t>DMNH19657</t>
  </si>
  <si>
    <t>DMNH19659</t>
  </si>
  <si>
    <t>DMNH19661</t>
  </si>
  <si>
    <t>DMNH19662</t>
  </si>
  <si>
    <t>DMNH19663</t>
  </si>
  <si>
    <t>DMNH19666</t>
  </si>
  <si>
    <t>DMNH19667</t>
  </si>
  <si>
    <t>DMNH19669</t>
  </si>
  <si>
    <t xml:space="preserve">Rosidae </t>
  </si>
  <si>
    <t>DMNH19665</t>
  </si>
  <si>
    <t>HC229</t>
  </si>
  <si>
    <t>Cercidiphyllaceae</t>
  </si>
  <si>
    <t>DMNH19607</t>
  </si>
  <si>
    <t>DMNH19612</t>
  </si>
  <si>
    <t>DMNH19622</t>
  </si>
  <si>
    <t>DMNH19203</t>
  </si>
  <si>
    <t>DMNH19609</t>
  </si>
  <si>
    <t>DMNH19610</t>
  </si>
  <si>
    <t>DMNH19618</t>
  </si>
  <si>
    <t>DMNH19620</t>
  </si>
  <si>
    <t>DMNH19625</t>
  </si>
  <si>
    <t>DMNH19627</t>
  </si>
  <si>
    <t>DMNH19628</t>
  </si>
  <si>
    <t>DMNH19634</t>
  </si>
  <si>
    <t>DMNH19635</t>
  </si>
  <si>
    <t>DMNH19636</t>
  </si>
  <si>
    <t>DMNH19641</t>
  </si>
  <si>
    <t>DMNH19204</t>
  </si>
  <si>
    <t xml:space="preserve">Cannabaceae </t>
  </si>
  <si>
    <t>HC254</t>
  </si>
  <si>
    <t>DMNH19254</t>
  </si>
  <si>
    <t>DMNH19994</t>
  </si>
  <si>
    <t>DMNH20420</t>
  </si>
  <si>
    <t>DMNH20421</t>
  </si>
  <si>
    <t>DMNH20422</t>
  </si>
  <si>
    <t>DMNH20072</t>
  </si>
  <si>
    <t>DMNH19977</t>
  </si>
  <si>
    <t>DMNH20606</t>
  </si>
  <si>
    <t>DMNH20003</t>
  </si>
  <si>
    <t>DMNH21786(1)</t>
  </si>
  <si>
    <t>DMNH21786(2)</t>
  </si>
  <si>
    <t>DMNH21786(3)</t>
  </si>
  <si>
    <t>DMNH21813</t>
  </si>
  <si>
    <t>HC261</t>
  </si>
  <si>
    <t>Rhamnaceae</t>
  </si>
  <si>
    <t>DMNH20234</t>
  </si>
  <si>
    <t>DMNH20235</t>
  </si>
  <si>
    <t>DMNH20236</t>
  </si>
  <si>
    <t>DMNH20237</t>
  </si>
  <si>
    <t>DMNH6920</t>
  </si>
  <si>
    <t xml:space="preserve">Rhamnaceae </t>
  </si>
  <si>
    <t>DMNH7397</t>
  </si>
  <si>
    <t>DMNH7474</t>
  </si>
  <si>
    <t>DMNH19248</t>
  </si>
  <si>
    <t>HC264</t>
  </si>
  <si>
    <t>DMNH20380</t>
  </si>
  <si>
    <t>DMNH20384</t>
  </si>
  <si>
    <t>DMNH20378</t>
  </si>
  <si>
    <t>DMNH20379</t>
  </si>
  <si>
    <t>DMNH20298</t>
  </si>
  <si>
    <t>DMNH19244</t>
  </si>
  <si>
    <t>DMNH7204</t>
  </si>
  <si>
    <t>HC268</t>
  </si>
  <si>
    <t>DMNH20535</t>
  </si>
  <si>
    <t>DMNH20536</t>
  </si>
  <si>
    <t>DMNH20537</t>
  </si>
  <si>
    <t>DMNH20538</t>
  </si>
  <si>
    <t>DMNH20587</t>
  </si>
  <si>
    <t>DMNH20539</t>
  </si>
  <si>
    <t>DMNH20541</t>
  </si>
  <si>
    <t>HC280</t>
  </si>
  <si>
    <t>DMNH6926</t>
  </si>
  <si>
    <t>DMNH20067</t>
  </si>
  <si>
    <t>DMNH20265</t>
  </si>
  <si>
    <t>DMNH20266</t>
  </si>
  <si>
    <t>DMNH20267</t>
  </si>
  <si>
    <t>DMNH20268</t>
  </si>
  <si>
    <t>DMNH20269</t>
  </si>
  <si>
    <t>DMNH20271</t>
  </si>
  <si>
    <t>DMNH20272</t>
  </si>
  <si>
    <t>DMNH20273</t>
  </si>
  <si>
    <t>DMNH20274</t>
  </si>
  <si>
    <t>DMNH20275</t>
  </si>
  <si>
    <t>DMNH20276</t>
  </si>
  <si>
    <t>DMNH20277</t>
  </si>
  <si>
    <t>DMNH20278</t>
  </si>
  <si>
    <t>DMNH22880</t>
  </si>
  <si>
    <t>DMNH6729</t>
  </si>
  <si>
    <t>DMNH6758</t>
  </si>
  <si>
    <t>DMNH6780</t>
  </si>
  <si>
    <t>DMNH7401</t>
  </si>
  <si>
    <t>DMNH7402</t>
  </si>
  <si>
    <t>DMNH7425</t>
  </si>
  <si>
    <t>DMNH7562</t>
  </si>
  <si>
    <t>DMNH7580</t>
  </si>
  <si>
    <t>DMNH19243</t>
  </si>
  <si>
    <t>HC4</t>
  </si>
  <si>
    <t>DMNH13590</t>
  </si>
  <si>
    <t>DMNH13594</t>
  </si>
  <si>
    <t>DMNH13588</t>
  </si>
  <si>
    <t>DMNH13589</t>
  </si>
  <si>
    <t>DMNH13591</t>
  </si>
  <si>
    <t>DMNH13593</t>
  </si>
  <si>
    <t>DMNH20174</t>
  </si>
  <si>
    <t>DMNH20725</t>
  </si>
  <si>
    <t>DMNH7421</t>
  </si>
  <si>
    <t>DMNH7426</t>
  </si>
  <si>
    <t>DMNH7450</t>
  </si>
  <si>
    <t>DMNH7500</t>
  </si>
  <si>
    <t>DMNH7517</t>
  </si>
  <si>
    <t>DMNH7989</t>
  </si>
  <si>
    <t>DMNH8658</t>
  </si>
  <si>
    <t>DMNH13592</t>
  </si>
  <si>
    <t>DMNH21559</t>
  </si>
  <si>
    <t>DMNH21560</t>
  </si>
  <si>
    <t>DMNH7605</t>
  </si>
  <si>
    <t>YPM6353</t>
  </si>
  <si>
    <t>YPM8868</t>
  </si>
  <si>
    <t>YPM8870</t>
  </si>
  <si>
    <t>YPM9130</t>
  </si>
  <si>
    <t>HC43</t>
  </si>
  <si>
    <t xml:space="preserve">Magnoliidae </t>
  </si>
  <si>
    <t>DMNH7173</t>
  </si>
  <si>
    <t>Magnoliidae</t>
  </si>
  <si>
    <t>DMNH7184</t>
  </si>
  <si>
    <t>DMNH20231</t>
  </si>
  <si>
    <t>DMNH20232</t>
  </si>
  <si>
    <t>DMNH20233</t>
  </si>
  <si>
    <t>DMNH19707</t>
  </si>
  <si>
    <t>DMNH20787</t>
  </si>
  <si>
    <t>DMNH20797</t>
  </si>
  <si>
    <t>DMNH20786</t>
  </si>
  <si>
    <t>DMNH20788</t>
  </si>
  <si>
    <t>DMNH20789</t>
  </si>
  <si>
    <t>DMNH20791</t>
  </si>
  <si>
    <t>DMNH20793</t>
  </si>
  <si>
    <t>DMNH20795</t>
  </si>
  <si>
    <t>DMNH20799</t>
  </si>
  <si>
    <t>YPM9062</t>
  </si>
  <si>
    <t>HC44</t>
  </si>
  <si>
    <t>DMNH20229</t>
  </si>
  <si>
    <t>DMNH6768</t>
  </si>
  <si>
    <t>HC49</t>
  </si>
  <si>
    <t>DMNH20358</t>
  </si>
  <si>
    <t>DMNH7161</t>
  </si>
  <si>
    <t>DMNH7620</t>
  </si>
  <si>
    <t>DMNH20313</t>
  </si>
  <si>
    <t>Terry's Hclla Site</t>
  </si>
  <si>
    <t>DMNH20953</t>
  </si>
  <si>
    <t>DMNH20979</t>
  </si>
  <si>
    <t>DMNH20980</t>
  </si>
  <si>
    <t>DMNH20981</t>
  </si>
  <si>
    <t>DMNH20983</t>
  </si>
  <si>
    <t>DMNH20987</t>
  </si>
  <si>
    <t>DMNH20990</t>
  </si>
  <si>
    <t>DMNH20991</t>
  </si>
  <si>
    <t>DMNH20992</t>
  </si>
  <si>
    <t>DMNH20994</t>
  </si>
  <si>
    <t>DMNH20995</t>
  </si>
  <si>
    <t>DMNH20997</t>
  </si>
  <si>
    <t>DMNH21799</t>
  </si>
  <si>
    <t>YPM6382</t>
  </si>
  <si>
    <t>YPM6384</t>
  </si>
  <si>
    <t>YPM6385</t>
  </si>
  <si>
    <t>YPM6865</t>
  </si>
  <si>
    <t>YPM7146</t>
  </si>
  <si>
    <t>YPM7149</t>
  </si>
  <si>
    <t>YPM7151</t>
  </si>
  <si>
    <t>YPM7154</t>
  </si>
  <si>
    <t>YPM7157</t>
  </si>
  <si>
    <t>YPM7670</t>
  </si>
  <si>
    <t>YPM7674</t>
  </si>
  <si>
    <t>YPM7912</t>
  </si>
  <si>
    <t>YPM7919</t>
  </si>
  <si>
    <t>YPM7926</t>
  </si>
  <si>
    <t>YPM8413</t>
  </si>
  <si>
    <t>YPM8762</t>
  </si>
  <si>
    <t>HC57</t>
  </si>
  <si>
    <t>DMNH18833</t>
  </si>
  <si>
    <t>DMNH11006</t>
  </si>
  <si>
    <t>DMNH11009</t>
  </si>
  <si>
    <t>DMNH11011</t>
  </si>
  <si>
    <t>DMNH18825</t>
  </si>
  <si>
    <t>DMNH18827</t>
  </si>
  <si>
    <t>DMNH18834</t>
  </si>
  <si>
    <t>DMNH18835</t>
  </si>
  <si>
    <t>DMNH18836</t>
  </si>
  <si>
    <t>DMNH6278</t>
  </si>
  <si>
    <t>DMNH7643</t>
  </si>
  <si>
    <t>DMNH8549</t>
  </si>
  <si>
    <t>DMNH8563</t>
  </si>
  <si>
    <t>DMNH8583</t>
  </si>
  <si>
    <t>Erlingdorfia montana (terminal leaflet)</t>
  </si>
  <si>
    <t>DMNH11002 (term)</t>
  </si>
  <si>
    <t>Erlingdorfia montana (lateral leaflet)</t>
  </si>
  <si>
    <t>DMNH18830</t>
  </si>
  <si>
    <t>DMNH6268 (term)</t>
  </si>
  <si>
    <t>DMNH7631 (term)</t>
  </si>
  <si>
    <t>DMNH7635 (term)</t>
  </si>
  <si>
    <t>DMNH8591</t>
  </si>
  <si>
    <t>DMNH13006</t>
  </si>
  <si>
    <t>DMNH18829 (term)</t>
  </si>
  <si>
    <t>DMNH18865 (term)</t>
  </si>
  <si>
    <t>DMNH6262 (term)</t>
  </si>
  <si>
    <t>DMNH7644</t>
  </si>
  <si>
    <t>DMNH20565</t>
  </si>
  <si>
    <t>DMNH20687</t>
  </si>
  <si>
    <t>DMNH21390</t>
  </si>
  <si>
    <t>DMNH21396</t>
  </si>
  <si>
    <t>DMNH21754</t>
  </si>
  <si>
    <t>DMNH6253</t>
  </si>
  <si>
    <t>DMNH6264</t>
  </si>
  <si>
    <t>DMNH6265 (1)</t>
  </si>
  <si>
    <t>DMNH6265 (2)</t>
  </si>
  <si>
    <t>DMNH7149</t>
  </si>
  <si>
    <t>DMNH7639 (term)</t>
  </si>
  <si>
    <t>DMNH8409</t>
  </si>
  <si>
    <t>DMNH8464</t>
  </si>
  <si>
    <t>YPM6375</t>
  </si>
  <si>
    <t>YPM6425</t>
  </si>
  <si>
    <t>YPM6583</t>
  </si>
  <si>
    <t>YPM7076</t>
  </si>
  <si>
    <t>HC62</t>
  </si>
  <si>
    <t>DMNH7274</t>
  </si>
  <si>
    <t>DMNH7279</t>
  </si>
  <si>
    <t>DMNH7200</t>
  </si>
  <si>
    <t>DMNH7213</t>
  </si>
  <si>
    <t>DMNH7215</t>
  </si>
  <si>
    <t>DMNH7216</t>
  </si>
  <si>
    <t>DMNH7244</t>
  </si>
  <si>
    <t>"Rhamnus" cleburni</t>
  </si>
  <si>
    <t>7267(2)</t>
  </si>
  <si>
    <t>DMNH7267(1)</t>
  </si>
  <si>
    <t>DMNH7270</t>
  </si>
  <si>
    <t>DMNH7281</t>
  </si>
  <si>
    <t>DMNH7320</t>
  </si>
  <si>
    <t>DMNH7335</t>
  </si>
  <si>
    <t>DMNH8718</t>
  </si>
  <si>
    <t>DMNH20230</t>
  </si>
  <si>
    <t>DMNH6829</t>
  </si>
  <si>
    <t>DMNH7462</t>
  </si>
  <si>
    <t>DMNH7701</t>
  </si>
  <si>
    <t>DMNH20954</t>
  </si>
  <si>
    <t>DMNH20958</t>
  </si>
  <si>
    <t>DMNH20959</t>
  </si>
  <si>
    <t>DMNH20960</t>
  </si>
  <si>
    <t>DMNH20961</t>
  </si>
  <si>
    <t>DMNH20962</t>
  </si>
  <si>
    <t>DMNH20963</t>
  </si>
  <si>
    <t>DMNH20964</t>
  </si>
  <si>
    <t>DMNH20965</t>
  </si>
  <si>
    <t>DMNH20966</t>
  </si>
  <si>
    <t>DMNH20967</t>
  </si>
  <si>
    <t>DMNH20968</t>
  </si>
  <si>
    <t>DMNH20973</t>
  </si>
  <si>
    <t>DMNH20974</t>
  </si>
  <si>
    <t>DMNH20975</t>
  </si>
  <si>
    <t>DMNH20977</t>
  </si>
  <si>
    <t>DMNH20978</t>
  </si>
  <si>
    <t>DMNH21023</t>
  </si>
  <si>
    <t>DMNH21034</t>
  </si>
  <si>
    <t>DMNH20772</t>
  </si>
  <si>
    <t>DMNH20781</t>
  </si>
  <si>
    <t>DMNH20771</t>
  </si>
  <si>
    <t>DMNH20773</t>
  </si>
  <si>
    <t>DMNH20774</t>
  </si>
  <si>
    <t>DMNH20776</t>
  </si>
  <si>
    <t>DMNH20777</t>
  </si>
  <si>
    <t>DMNH20778</t>
  </si>
  <si>
    <t>DMNH20779</t>
  </si>
  <si>
    <t>DMNH20780</t>
  </si>
  <si>
    <t>DMNH20782</t>
  </si>
  <si>
    <t>DMNH20784</t>
  </si>
  <si>
    <t>DMNH20591</t>
  </si>
  <si>
    <t>DMNH13536</t>
  </si>
  <si>
    <t>DMNH20483</t>
  </si>
  <si>
    <t>DMNH21778</t>
  </si>
  <si>
    <t>YPM6492</t>
  </si>
  <si>
    <t>YPM6792</t>
  </si>
  <si>
    <t>YPM6895</t>
  </si>
  <si>
    <t>YPM6897</t>
  </si>
  <si>
    <t>YPM6901</t>
  </si>
  <si>
    <t>HC64</t>
  </si>
  <si>
    <t>DMNH11005</t>
  </si>
  <si>
    <t>DMNH11020</t>
  </si>
  <si>
    <t>DMNH11013</t>
  </si>
  <si>
    <t>DMNH11016</t>
  </si>
  <si>
    <t>DMNH11021</t>
  </si>
  <si>
    <t>DMNH13005</t>
  </si>
  <si>
    <t>DMNH18832</t>
  </si>
  <si>
    <t>DMNH7632</t>
  </si>
  <si>
    <t>DMNH8501</t>
  </si>
  <si>
    <t>DMNH8581</t>
  </si>
  <si>
    <t>HC65</t>
  </si>
  <si>
    <t>DMNH7260</t>
  </si>
  <si>
    <t>DMNH20568</t>
  </si>
  <si>
    <t>DMNH20576</t>
  </si>
  <si>
    <t>DMNH20700</t>
  </si>
  <si>
    <t>HC66</t>
  </si>
  <si>
    <t>DMNH20952</t>
  </si>
  <si>
    <t>DMNH7524</t>
  </si>
  <si>
    <t>DMNH8411</t>
  </si>
  <si>
    <t>DMNH8414</t>
  </si>
  <si>
    <t>DMNH8432</t>
  </si>
  <si>
    <t>YPM7601</t>
  </si>
  <si>
    <t>HC81</t>
  </si>
  <si>
    <t>Cannabaceae</t>
  </si>
  <si>
    <t>DMNH19494</t>
  </si>
  <si>
    <t>DMNH19507</t>
  </si>
  <si>
    <t>DMNH19564</t>
  </si>
  <si>
    <t>DMNH19495</t>
  </si>
  <si>
    <t>DMNH19496</t>
  </si>
  <si>
    <t>DMNH19498</t>
  </si>
  <si>
    <t>DMNH19500</t>
  </si>
  <si>
    <t>DMNH19504</t>
  </si>
  <si>
    <t>DMNH19505</t>
  </si>
  <si>
    <t>DMNH19511</t>
  </si>
  <si>
    <t>DMNH19512</t>
  </si>
  <si>
    <t>DMNH19544</t>
  </si>
  <si>
    <t>DMNH19556</t>
  </si>
  <si>
    <t>DMNH19563</t>
  </si>
  <si>
    <t>DMNH19580</t>
  </si>
  <si>
    <t>DMNH19581</t>
  </si>
  <si>
    <t>DMNH19584</t>
  </si>
  <si>
    <t>DMNH19592</t>
  </si>
  <si>
    <t>DMNH19593</t>
  </si>
  <si>
    <t>DMNH19602</t>
  </si>
  <si>
    <t>HC86</t>
  </si>
  <si>
    <t>Leepierceia preartocarpoides</t>
  </si>
  <si>
    <t>DMNH6277</t>
  </si>
  <si>
    <t>DMNH18768</t>
  </si>
  <si>
    <t>DMNH18770</t>
  </si>
  <si>
    <t>DMNH18772</t>
  </si>
  <si>
    <t>DMNH18773</t>
  </si>
  <si>
    <t>DMNH18774</t>
  </si>
  <si>
    <t>DMNH18775</t>
  </si>
  <si>
    <t>DMNH11018</t>
  </si>
  <si>
    <t>DMNH7527</t>
  </si>
  <si>
    <t>DMNH8554</t>
  </si>
  <si>
    <t>DMNH8557</t>
  </si>
  <si>
    <t>DMNH20545</t>
  </si>
  <si>
    <t>DMNH18675</t>
  </si>
  <si>
    <t>DMNH6359</t>
  </si>
  <si>
    <t>YPM6509</t>
  </si>
  <si>
    <t>HC94</t>
  </si>
  <si>
    <t>DMNH18665 (1)</t>
  </si>
  <si>
    <t>DMNH18665 (2)</t>
  </si>
  <si>
    <t>DMNH18666</t>
  </si>
  <si>
    <t>DMNH18669</t>
  </si>
  <si>
    <t>DMNH18672</t>
  </si>
  <si>
    <t>DMNH18674</t>
  </si>
  <si>
    <t>DMNH18706</t>
  </si>
  <si>
    <t>DMNH18664</t>
  </si>
  <si>
    <t>DMNH18668</t>
  </si>
  <si>
    <t>DMNH18670</t>
  </si>
  <si>
    <t>DMNH18701</t>
  </si>
  <si>
    <t>DMNH18703</t>
  </si>
  <si>
    <t>DMNH18705</t>
  </si>
  <si>
    <t>DMNH19054</t>
  </si>
  <si>
    <t>DMNH19134</t>
  </si>
  <si>
    <t>YPM7934</t>
  </si>
  <si>
    <t>YPM8372</t>
  </si>
  <si>
    <t>YPM8814</t>
  </si>
  <si>
    <t>YPM8851</t>
  </si>
  <si>
    <t>HC98</t>
  </si>
  <si>
    <t>DMNH8566</t>
  </si>
  <si>
    <t>DMNH8569</t>
  </si>
  <si>
    <t xml:space="preserve">Platanaceae </t>
  </si>
  <si>
    <t>DMNH21378</t>
  </si>
  <si>
    <t>Morphotype</t>
  </si>
  <si>
    <t>Site</t>
  </si>
  <si>
    <t>DMNH21989(2)</t>
  </si>
  <si>
    <t>DMNH21989(1)</t>
  </si>
  <si>
    <t>DMNH22609(1)</t>
  </si>
  <si>
    <t>DMNH22609(2)</t>
  </si>
  <si>
    <t>DMNH20031(2)</t>
  </si>
  <si>
    <t>DMNH20031(1)</t>
  </si>
  <si>
    <t>DMNH22602(1)</t>
  </si>
  <si>
    <t>DMNH22602(2)</t>
  </si>
  <si>
    <t>DMNH18704(2)</t>
  </si>
  <si>
    <t>DMNH18704(1)</t>
  </si>
  <si>
    <t>DMNH22590(1)</t>
  </si>
  <si>
    <t>DMNH22590(2)</t>
  </si>
  <si>
    <t>DMNH20044(2)</t>
  </si>
  <si>
    <t>DMNH20044(1)</t>
  </si>
  <si>
    <t>DMNH6190(1)</t>
  </si>
  <si>
    <t>DMNH6190(2)</t>
  </si>
  <si>
    <t>DMNH18916 (2)</t>
  </si>
  <si>
    <t>DMNH18916 (1)</t>
  </si>
  <si>
    <t xml:space="preserve">HC14 </t>
  </si>
  <si>
    <t>HC14</t>
  </si>
  <si>
    <t>HC20</t>
  </si>
  <si>
    <t>HC21</t>
  </si>
  <si>
    <t xml:space="preserve">HC86 </t>
  </si>
  <si>
    <t>Dynamite Creek</t>
  </si>
  <si>
    <t>Unknown</t>
  </si>
  <si>
    <t>Sample size</t>
  </si>
  <si>
    <t>How many frags?</t>
  </si>
  <si>
    <t>How many completes?</t>
  </si>
  <si>
    <t>Morphotype &amp; Site</t>
  </si>
  <si>
    <t>Facies</t>
  </si>
  <si>
    <t>aban chan</t>
  </si>
  <si>
    <t>pond</t>
  </si>
  <si>
    <t>ash bed</t>
  </si>
  <si>
    <t>channel la</t>
  </si>
  <si>
    <t>splay</t>
  </si>
  <si>
    <t>channel x</t>
  </si>
  <si>
    <t>?</t>
  </si>
  <si>
    <t>DMNH7525 (1)</t>
  </si>
  <si>
    <t>DMNH7525 (2)</t>
  </si>
  <si>
    <t>87147a</t>
  </si>
  <si>
    <t>Leaf type</t>
  </si>
  <si>
    <t>Site # (DMNH or KJ)</t>
  </si>
  <si>
    <t>Site name</t>
  </si>
  <si>
    <t>Specimen #</t>
  </si>
  <si>
    <t>YPM6772</t>
  </si>
  <si>
    <t>YPM6957a</t>
  </si>
  <si>
    <t>YPM7177</t>
  </si>
  <si>
    <t>YPM7042</t>
  </si>
  <si>
    <t>YPM7043a</t>
  </si>
  <si>
    <t>YPM7044</t>
  </si>
  <si>
    <t>YPM7046</t>
  </si>
  <si>
    <t>YPM7047</t>
  </si>
  <si>
    <t>YPM7048</t>
  </si>
  <si>
    <t>YPM7049</t>
  </si>
  <si>
    <t>YPM7051</t>
  </si>
  <si>
    <t>YPM7057a</t>
  </si>
  <si>
    <t>YPM7057b</t>
  </si>
  <si>
    <t>YPM7058</t>
  </si>
  <si>
    <t>YPM7059</t>
  </si>
  <si>
    <t>YPM7061</t>
  </si>
  <si>
    <t>YPM7062</t>
  </si>
  <si>
    <t>YPM7064</t>
  </si>
  <si>
    <t>YPM7065</t>
  </si>
  <si>
    <t>YPM7067a</t>
  </si>
  <si>
    <t>YPM7071</t>
  </si>
  <si>
    <t>YPM8835</t>
  </si>
  <si>
    <t>YPM8836</t>
  </si>
  <si>
    <t>YPM6839</t>
  </si>
  <si>
    <t>YPM6843</t>
  </si>
  <si>
    <t>YPM6845</t>
  </si>
  <si>
    <t>YPM6846</t>
  </si>
  <si>
    <t>YPM6849</t>
  </si>
  <si>
    <t>YPM6850</t>
  </si>
  <si>
    <t>YPM7811-1</t>
  </si>
  <si>
    <t>YPM7811-2</t>
  </si>
  <si>
    <t>YPM6795</t>
  </si>
  <si>
    <t>YPM26449</t>
  </si>
  <si>
    <t>YPM8731</t>
  </si>
  <si>
    <t>YPM8742</t>
  </si>
  <si>
    <t>YPM8749</t>
  </si>
  <si>
    <t>YPM8753</t>
  </si>
  <si>
    <t>YPM8754</t>
  </si>
  <si>
    <t>YPM8759</t>
  </si>
  <si>
    <t>YPM8768</t>
  </si>
  <si>
    <t>YPM8787-1</t>
  </si>
  <si>
    <t>YPM8787-2</t>
  </si>
  <si>
    <t>YPM8708</t>
  </si>
  <si>
    <t>YPM8730</t>
  </si>
  <si>
    <t>YPM7002</t>
  </si>
  <si>
    <t>YPM6381-1</t>
  </si>
  <si>
    <t>YPM6381-2</t>
  </si>
  <si>
    <t>YPM7136</t>
  </si>
  <si>
    <t>YPM7141</t>
  </si>
  <si>
    <t>YPM7147</t>
  </si>
  <si>
    <t>YPM7152</t>
  </si>
  <si>
    <t>YPM7158</t>
  </si>
  <si>
    <t>YPM7159</t>
  </si>
  <si>
    <t>YPM7160</t>
  </si>
  <si>
    <t>YPM7161</t>
  </si>
  <si>
    <t>YPM7162-1</t>
  </si>
  <si>
    <t>YPM7162-2</t>
  </si>
  <si>
    <t>YPM7162-3</t>
  </si>
  <si>
    <t>YPM7162-4</t>
  </si>
  <si>
    <t>YPM7162-5</t>
  </si>
  <si>
    <t>YPM7163-2</t>
  </si>
  <si>
    <t>YPM7165</t>
  </si>
  <si>
    <t>YPM7200-1</t>
  </si>
  <si>
    <t>YPM7200-2</t>
  </si>
  <si>
    <t>YPM7205</t>
  </si>
  <si>
    <t>YPM7122</t>
  </si>
  <si>
    <t>YPM7469</t>
  </si>
  <si>
    <t>YPM7470-1</t>
  </si>
  <si>
    <t>YPM7470-2</t>
  </si>
  <si>
    <t>YPM7472</t>
  </si>
  <si>
    <t>YPM7474</t>
  </si>
  <si>
    <t>YPM7488</t>
  </si>
  <si>
    <t>YPM6383</t>
  </si>
  <si>
    <t>YPM6389</t>
  </si>
  <si>
    <t>YPM7830-1</t>
  </si>
  <si>
    <t>YPM7830-2</t>
  </si>
  <si>
    <t>YPM7906</t>
  </si>
  <si>
    <t>YPM7910</t>
  </si>
  <si>
    <t>YPM7912-1</t>
  </si>
  <si>
    <t>YPM7912-2</t>
  </si>
  <si>
    <t>YPM7913</t>
  </si>
  <si>
    <t>YPM7914</t>
  </si>
  <si>
    <t>YPM7915</t>
  </si>
  <si>
    <t>YPM7916-1</t>
  </si>
  <si>
    <t>YPM7916-2</t>
  </si>
  <si>
    <t>YPM7918</t>
  </si>
  <si>
    <t>YPM7921</t>
  </si>
  <si>
    <t>YPM7922</t>
  </si>
  <si>
    <t>YPM7925</t>
  </si>
  <si>
    <t>YPM8981</t>
  </si>
  <si>
    <t>YPM6787</t>
  </si>
  <si>
    <t>YPM6791</t>
  </si>
  <si>
    <t>YPM6796</t>
  </si>
  <si>
    <t>YPM6799</t>
  </si>
  <si>
    <t>YPM6390</t>
  </si>
  <si>
    <t>YPM6868</t>
  </si>
  <si>
    <t>YPM6889</t>
  </si>
  <si>
    <t>YPM6890</t>
  </si>
  <si>
    <t>YPM6891</t>
  </si>
  <si>
    <t>YPM6892</t>
  </si>
  <si>
    <t>YPM6893</t>
  </si>
  <si>
    <t>YPM6894</t>
  </si>
  <si>
    <t>YPM6896</t>
  </si>
  <si>
    <t>YPM6898</t>
  </si>
  <si>
    <t>YPM6899</t>
  </si>
  <si>
    <t>YPM7006</t>
  </si>
  <si>
    <t>YPM6493</t>
  </si>
  <si>
    <t>YPM6881</t>
  </si>
  <si>
    <t>YPM7073</t>
  </si>
  <si>
    <t>YPM7074</t>
  </si>
  <si>
    <t>YPM7077</t>
  </si>
  <si>
    <t>YPM7078</t>
  </si>
  <si>
    <t>YPM7079</t>
  </si>
  <si>
    <t>YPM6910</t>
  </si>
  <si>
    <t>YPM6912</t>
  </si>
  <si>
    <t>YPM6913</t>
  </si>
  <si>
    <t>YPM6914</t>
  </si>
  <si>
    <t>YPM6915</t>
  </si>
  <si>
    <t>YPM6916</t>
  </si>
  <si>
    <t>YPM6917</t>
  </si>
  <si>
    <t>YPM6918</t>
  </si>
  <si>
    <t>YPM6919</t>
  </si>
  <si>
    <t>YPM6936</t>
  </si>
  <si>
    <t>YPM6941-1</t>
  </si>
  <si>
    <t>YPM6941-2</t>
  </si>
  <si>
    <t>YPM7372</t>
  </si>
  <si>
    <t>YPM7373</t>
  </si>
  <si>
    <t>YPM7376</t>
  </si>
  <si>
    <t>YPM7377-1</t>
  </si>
  <si>
    <t>YPM7377-2</t>
  </si>
  <si>
    <t>YPM7378</t>
  </si>
  <si>
    <t>YPM7379</t>
  </si>
  <si>
    <t>YPM7380</t>
  </si>
  <si>
    <t>YPM7385</t>
  </si>
  <si>
    <t>YPM26463</t>
  </si>
  <si>
    <t>YPM7947</t>
  </si>
  <si>
    <t>YPM8416</t>
  </si>
  <si>
    <t>YPM8359</t>
  </si>
  <si>
    <t>YPM8361</t>
  </si>
  <si>
    <t>YPM8362</t>
  </si>
  <si>
    <t>YPM8363</t>
  </si>
  <si>
    <t>YPM8365</t>
  </si>
  <si>
    <t>YPM8366</t>
  </si>
  <si>
    <t>YPM8367</t>
  </si>
  <si>
    <t>YPM8368</t>
  </si>
  <si>
    <t>YPM8369</t>
  </si>
  <si>
    <t>YPM8370</t>
  </si>
  <si>
    <t>YPM8376</t>
  </si>
  <si>
    <t>YPM8384</t>
  </si>
  <si>
    <t>YPM8385</t>
  </si>
  <si>
    <t>YPM8386</t>
  </si>
  <si>
    <t>YPM6426</t>
  </si>
  <si>
    <t>YPM7134-1</t>
  </si>
  <si>
    <t>YPM7134-2</t>
  </si>
  <si>
    <t>YPM7135</t>
  </si>
  <si>
    <t>YPM7137-1</t>
  </si>
  <si>
    <t>YPM7137-2</t>
  </si>
  <si>
    <t>YPM7140</t>
  </si>
  <si>
    <t>YPM7142</t>
  </si>
  <si>
    <t>YPM7143</t>
  </si>
  <si>
    <t>YPM7144</t>
  </si>
  <si>
    <t>YPM7145</t>
  </si>
  <si>
    <t>YPM7167</t>
  </si>
  <si>
    <t>YPM7170</t>
  </si>
  <si>
    <t>YPM7171</t>
  </si>
  <si>
    <t>YPM7172</t>
  </si>
  <si>
    <t>YPM7174</t>
  </si>
  <si>
    <t>YPM7636</t>
  </si>
  <si>
    <t>YPM7675</t>
  </si>
  <si>
    <t>YPM6500</t>
  </si>
  <si>
    <t>YPM6501</t>
  </si>
  <si>
    <t>YPM7032</t>
  </si>
  <si>
    <t>YPM7034</t>
  </si>
  <si>
    <t>YPM7036</t>
  </si>
  <si>
    <t>YPM7037</t>
  </si>
  <si>
    <t>YPM7038</t>
  </si>
  <si>
    <t>YPM7039</t>
  </si>
  <si>
    <t>YPM7040</t>
  </si>
  <si>
    <t>YPM7041</t>
  </si>
  <si>
    <t>YPM7100</t>
  </si>
  <si>
    <t>YPM8797</t>
  </si>
  <si>
    <t>YPM9004</t>
  </si>
  <si>
    <t>YPM9006</t>
  </si>
  <si>
    <t>YPM75996</t>
  </si>
  <si>
    <t>YPM8628</t>
  </si>
  <si>
    <t>YPM6378</t>
  </si>
  <si>
    <t>YPM8550</t>
  </si>
  <si>
    <t>YPM8551</t>
  </si>
  <si>
    <t>YPM8554</t>
  </si>
  <si>
    <t>YPM8556</t>
  </si>
  <si>
    <t>YPM8561</t>
  </si>
  <si>
    <t>YPM8595</t>
  </si>
  <si>
    <t>YPM8597</t>
  </si>
  <si>
    <t>YPM8524</t>
  </si>
  <si>
    <t>YPM8200</t>
  </si>
  <si>
    <t>YPM9099</t>
  </si>
  <si>
    <t>YPM9102</t>
  </si>
  <si>
    <t>YPM9103</t>
  </si>
  <si>
    <t>YPM6347</t>
  </si>
  <si>
    <t>YPM9011</t>
  </si>
  <si>
    <t>YPM9012</t>
  </si>
  <si>
    <t>YPM9014</t>
  </si>
  <si>
    <t>YPM9015</t>
  </si>
  <si>
    <t>YPM9016</t>
  </si>
  <si>
    <t>"Vitis" stantonii</t>
  </si>
  <si>
    <t>FRAG - COMPLETE, Sack (ln space)</t>
  </si>
  <si>
    <t>floodplain soil</t>
  </si>
  <si>
    <t>"Celastrus" taurenensis</t>
  </si>
  <si>
    <t>"Dryophyllum" subfalcatum</t>
  </si>
  <si>
    <t>"Ficus" planicostata</t>
  </si>
  <si>
    <t>"Populus" nebrascensis</t>
  </si>
  <si>
    <t>cf. "Dryophyllum" tenneseensis</t>
  </si>
  <si>
    <t>Morphotype name</t>
  </si>
  <si>
    <r>
      <t>Measured leaf area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</si>
  <si>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Measured leaf area (log 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</si>
  <si>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Measured leaf area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</si>
  <si>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Box 1 (apical)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</si>
  <si>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Box 1 (apical)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length (cm)</t>
    </r>
  </si>
  <si>
    <r>
      <t>Box 2 (middle)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</si>
  <si>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Box 2 (middle)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length (cm)</t>
    </r>
  </si>
  <si>
    <r>
      <t>Box 3 (basal)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</si>
  <si>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Box 3 (basal)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length (cm)</t>
    </r>
  </si>
  <si>
    <r>
      <t>Box 4 (midvein adjacent)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</si>
  <si>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Box 4 (midvein adjacent)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length (cm)</t>
    </r>
  </si>
  <si>
    <r>
      <t>Box 1 (apical)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)</t>
    </r>
  </si>
  <si>
    <r>
      <t>Box 2 (middle)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)</t>
    </r>
  </si>
  <si>
    <r>
      <t>Box 3 (basal)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)</t>
    </r>
  </si>
  <si>
    <r>
      <t>Box 4 (midvein adjacent)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)</t>
    </r>
  </si>
  <si>
    <r>
      <t>Mean inverse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(log [cm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]</t>
    </r>
    <r>
      <rPr>
        <b/>
        <vertAlign val="superscript"/>
        <sz val="11"/>
        <color indexed="8"/>
        <rFont val="Calibri"/>
        <family val="2"/>
        <scheme val="minor"/>
      </rPr>
      <t>-1</t>
    </r>
    <r>
      <rPr>
        <b/>
        <sz val="11"/>
        <color indexed="8"/>
        <rFont val="Calibri"/>
        <family val="2"/>
        <scheme val="minor"/>
      </rPr>
      <t>)</t>
    </r>
  </si>
  <si>
    <r>
      <t>FRAGS: Inverse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(log 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]</t>
    </r>
    <r>
      <rPr>
        <b/>
        <vertAlign val="superscript"/>
        <sz val="11"/>
        <color indexed="8"/>
        <rFont val="Calibri"/>
        <family val="2"/>
        <scheme val="minor"/>
      </rPr>
      <t>-1</t>
    </r>
    <r>
      <rPr>
        <b/>
        <sz val="11"/>
        <color indexed="8"/>
        <rFont val="Calibri"/>
        <family val="2"/>
        <scheme val="minor"/>
      </rPr>
      <t>)</t>
    </r>
  </si>
  <si>
    <r>
      <t>COMPLETES: Inverse 2</t>
    </r>
    <r>
      <rPr>
        <b/>
        <vertAlign val="superscript"/>
        <sz val="11"/>
        <color indexed="8"/>
        <rFont val="Calibri"/>
        <family val="2"/>
        <scheme val="minor"/>
      </rPr>
      <t>o</t>
    </r>
    <r>
      <rPr>
        <b/>
        <sz val="11"/>
        <color indexed="8"/>
        <rFont val="Calibri"/>
        <family val="2"/>
        <scheme val="minor"/>
      </rPr>
      <t xml:space="preserve"> vein density (log cm cm</t>
    </r>
    <r>
      <rPr>
        <b/>
        <vertAlign val="superscript"/>
        <sz val="11"/>
        <color indexed="8"/>
        <rFont val="Calibri"/>
        <family val="2"/>
        <scheme val="minor"/>
      </rPr>
      <t>-2</t>
    </r>
    <r>
      <rPr>
        <b/>
        <sz val="11"/>
        <color indexed="8"/>
        <rFont val="Calibri"/>
        <family val="2"/>
        <scheme val="minor"/>
      </rPr>
      <t>]</t>
    </r>
    <r>
      <rPr>
        <b/>
        <vertAlign val="superscript"/>
        <sz val="11"/>
        <color indexed="8"/>
        <rFont val="Calibri"/>
        <family val="2"/>
        <scheme val="minor"/>
      </rPr>
      <t>-1</t>
    </r>
    <r>
      <rPr>
        <b/>
        <sz val="11"/>
        <color indexed="8"/>
        <rFont val="Calibri"/>
        <family val="2"/>
        <scheme val="minor"/>
      </rPr>
      <t>)</t>
    </r>
  </si>
  <si>
    <t>FRAG - COMPLETE, WB (ln space)</t>
  </si>
  <si>
    <t>41 morphotype-site pairs--&gt;</t>
  </si>
  <si>
    <t>1. Taxonomy follows Johnson (2002).</t>
  </si>
  <si>
    <t>2. "DMNH" specimens come from the Denver Museum of Nature and Science; "YPM" specimens come from the Yale Peabody Museum.</t>
  </si>
  <si>
    <t>3. Sedimentary facies follow Johnson (2002; see his Table 3): aban chan = abandoned channel; channel la = channel lag; channel x = point bar; splay = crevasse splay.</t>
  </si>
  <si>
    <r>
      <t>COMPLETES: Mean measured leaf area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</si>
  <si>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COMPLETES: Mean measured leaf area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</si>
  <si>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stderr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</si>
  <si>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stderr w/user error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</si>
  <si>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COMPLETES: mean estimated leaf area, WB regression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</si>
  <si>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COMPLETES: mean estimated leaf area, WB regression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</si>
  <si>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16th percentile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</si>
  <si>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84th percentile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</si>
  <si>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FRAGS: mean estimated leaf area, WB regression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</si>
  <si>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FRAGS: mean estimated leaf area, WB regression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</si>
  <si>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COMPLETES: mean estimated leaf area, Sack regression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</si>
  <si>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COMPLETES: mean estimated leaf area, Sack regression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</si>
  <si>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FRAGS: mean estimated leaf area, Sack regression (cm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</si>
  <si>
    <r>
      <t>FRAGS: mean estimated leaf area, Sack regression (ln mm</t>
    </r>
    <r>
      <rPr>
        <b/>
        <vertAlign val="superscript"/>
        <sz val="11"/>
        <color indexed="8"/>
        <rFont val="Calibri"/>
        <family val="2"/>
        <scheme val="minor"/>
      </rPr>
      <t>2</t>
    </r>
    <r>
      <rPr>
        <b/>
        <sz val="11"/>
        <color indexed="8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</si>
</sst>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00000"/>
    <numFmt numFmtId="166" formatCode="0.00000"/>
    <numFmt numFmtId="167" formatCode="0.0000000000000"/>
    <numFmt numFmtId="168" formatCode="0.000"/>
  </numFmts>
  <fonts count="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vertAlign val="superscript"/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4">
    <xf numFmtId="0" fontId="0" fillId="0" borderId="0" xfId="0"/>
    <xf numFmtId="0" fontId="3" fillId="0" borderId="0" xfId="0" applyFont="1" applyFill="1" applyBorder="1" applyAlignment="1"/>
    <xf numFmtId="0" fontId="3" fillId="0" borderId="0" xfId="1" applyFont="1"/>
    <xf numFmtId="164" fontId="3" fillId="0" borderId="0" xfId="1" applyNumberFormat="1" applyFont="1"/>
    <xf numFmtId="2" fontId="3" fillId="0" borderId="0" xfId="1" applyNumberFormat="1" applyFont="1"/>
    <xf numFmtId="0" fontId="4" fillId="0" borderId="0" xfId="0" applyFont="1"/>
    <xf numFmtId="0" fontId="3" fillId="0" borderId="0" xfId="1" applyFont="1" applyFill="1"/>
    <xf numFmtId="0" fontId="5" fillId="0" borderId="0" xfId="1" applyFont="1" applyFill="1"/>
    <xf numFmtId="2" fontId="3" fillId="0" borderId="0" xfId="1" applyNumberFormat="1" applyFont="1" applyFill="1"/>
    <xf numFmtId="0" fontId="3" fillId="0" borderId="0" xfId="1" applyFont="1" applyFill="1" applyAlignment="1">
      <alignment horizontal="center"/>
    </xf>
    <xf numFmtId="166" fontId="3" fillId="0" borderId="0" xfId="1" applyNumberFormat="1" applyFont="1" applyFill="1"/>
    <xf numFmtId="2" fontId="3" fillId="0" borderId="0" xfId="1" applyNumberFormat="1" applyFont="1" applyFill="1" applyAlignment="1">
      <alignment horizontal="center"/>
    </xf>
    <xf numFmtId="164" fontId="3" fillId="3" borderId="0" xfId="1" applyNumberFormat="1" applyFont="1" applyFill="1"/>
    <xf numFmtId="2" fontId="3" fillId="3" borderId="0" xfId="1" applyNumberFormat="1" applyFont="1" applyFill="1"/>
    <xf numFmtId="164" fontId="3" fillId="4" borderId="0" xfId="1" applyNumberFormat="1" applyFont="1" applyFill="1"/>
    <xf numFmtId="2" fontId="3" fillId="4" borderId="0" xfId="1" applyNumberFormat="1" applyFont="1" applyFill="1"/>
    <xf numFmtId="164" fontId="3" fillId="5" borderId="0" xfId="1" applyNumberFormat="1" applyFont="1" applyFill="1"/>
    <xf numFmtId="2" fontId="3" fillId="5" borderId="0" xfId="1" applyNumberFormat="1" applyFont="1" applyFill="1"/>
    <xf numFmtId="2" fontId="4" fillId="3" borderId="0" xfId="0" applyNumberFormat="1" applyFont="1" applyFill="1"/>
    <xf numFmtId="2" fontId="4" fillId="5" borderId="0" xfId="0" applyNumberFormat="1" applyFont="1" applyFill="1"/>
    <xf numFmtId="1" fontId="3" fillId="0" borderId="0" xfId="1" applyNumberFormat="1" applyFont="1" applyFill="1" applyAlignment="1">
      <alignment horizontal="right"/>
    </xf>
    <xf numFmtId="0" fontId="4" fillId="0" borderId="0" xfId="1" applyFont="1" applyFill="1"/>
    <xf numFmtId="0" fontId="4" fillId="0" borderId="0" xfId="0" applyFont="1" applyFill="1"/>
    <xf numFmtId="2" fontId="4" fillId="0" borderId="0" xfId="0" applyNumberFormat="1" applyFont="1" applyFill="1"/>
    <xf numFmtId="0" fontId="4" fillId="0" borderId="0" xfId="0" applyFont="1" applyFill="1" applyAlignment="1"/>
    <xf numFmtId="2" fontId="4" fillId="0" borderId="0" xfId="0" quotePrefix="1" applyNumberFormat="1" applyFont="1" applyFill="1"/>
    <xf numFmtId="167" fontId="3" fillId="0" borderId="0" xfId="1" applyNumberFormat="1" applyFont="1"/>
    <xf numFmtId="0" fontId="5" fillId="0" borderId="0" xfId="1" applyFont="1" applyFill="1" applyAlignment="1">
      <alignment wrapText="1"/>
    </xf>
    <xf numFmtId="0" fontId="5" fillId="0" borderId="0" xfId="1" applyFont="1" applyAlignment="1">
      <alignment wrapText="1"/>
    </xf>
    <xf numFmtId="164" fontId="3" fillId="0" borderId="0" xfId="1" applyNumberFormat="1" applyFont="1" applyFill="1"/>
    <xf numFmtId="164" fontId="4" fillId="0" borderId="0" xfId="0" applyNumberFormat="1" applyFont="1" applyFill="1"/>
    <xf numFmtId="168" fontId="3" fillId="0" borderId="0" xfId="1" applyNumberFormat="1" applyFont="1" applyFill="1"/>
    <xf numFmtId="0" fontId="7" fillId="0" borderId="0" xfId="1" applyFont="1" applyFill="1" applyAlignment="1">
      <alignment wrapText="1"/>
    </xf>
    <xf numFmtId="0" fontId="5" fillId="4" borderId="0" xfId="1" applyFont="1" applyFill="1" applyAlignment="1">
      <alignment wrapText="1"/>
    </xf>
    <xf numFmtId="0" fontId="5" fillId="5" borderId="0" xfId="1" applyFont="1" applyFill="1" applyAlignment="1">
      <alignment wrapText="1"/>
    </xf>
    <xf numFmtId="0" fontId="5" fillId="3" borderId="0" xfId="1" applyFont="1" applyFill="1" applyAlignment="1">
      <alignment wrapText="1"/>
    </xf>
    <xf numFmtId="0" fontId="4" fillId="2" borderId="0" xfId="1" applyFont="1" applyFill="1"/>
    <xf numFmtId="0" fontId="5" fillId="0" borderId="0" xfId="1" applyFont="1"/>
    <xf numFmtId="1" fontId="3" fillId="0" borderId="0" xfId="1" applyNumberFormat="1" applyFont="1"/>
    <xf numFmtId="0" fontId="3" fillId="0" borderId="0" xfId="1" applyFont="1" applyAlignment="1">
      <alignment horizontal="center"/>
    </xf>
    <xf numFmtId="164" fontId="5" fillId="0" borderId="0" xfId="1" applyNumberFormat="1" applyFont="1"/>
    <xf numFmtId="2" fontId="5" fillId="0" borderId="0" xfId="1" applyNumberFormat="1" applyFont="1"/>
    <xf numFmtId="164" fontId="5" fillId="0" borderId="0" xfId="1" applyNumberFormat="1" applyFont="1" applyFill="1"/>
    <xf numFmtId="165" fontId="3" fillId="0" borderId="0" xfId="1" applyNumberFormat="1" applyFont="1"/>
  </cellXfs>
  <cellStyles count="3">
    <cellStyle name="Excel Built-in Normal" xfId="1"/>
    <cellStyle name="Normal" xfId="0" builtinId="0"/>
    <cellStyle name="Normal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78787"/>
      <rgbColor rgb="009999FF"/>
      <rgbColor rgb="00C0504D"/>
      <rgbColor rgb="00FFFFCC"/>
      <rgbColor rgb="00CCFFFF"/>
      <rgbColor rgb="00660066"/>
      <rgbColor rgb="00FF8080"/>
      <rgbColor rgb="000070C0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CD5B5"/>
      <rgbColor rgb="003366FF"/>
      <rgbColor rgb="0033CCCC"/>
      <rgbColor rgb="0092D050"/>
      <rgbColor rgb="00FFCC00"/>
      <rgbColor rgb="00FF9900"/>
      <rgbColor rgb="00FF6600"/>
      <rgbColor rgb="004F81BD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44</xdr:col>
      <xdr:colOff>1095375</xdr:colOff>
      <xdr:row>77</xdr:row>
      <xdr:rowOff>152400</xdr:rowOff>
    </xdr:from>
    <xdr:ext cx="1781175" cy="264560"/>
    <xdr:sp macro="" textlink="">
      <xdr:nvSpPr>
        <xdr:cNvPr id="2" name="TextBox 1"/>
        <xdr:cNvSpPr txBox="1"/>
      </xdr:nvSpPr>
      <xdr:spPr>
        <a:xfrm>
          <a:off x="127168275" y="15011400"/>
          <a:ext cx="17811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52</xdr:col>
      <xdr:colOff>1095375</xdr:colOff>
      <xdr:row>71</xdr:row>
      <xdr:rowOff>152400</xdr:rowOff>
    </xdr:from>
    <xdr:ext cx="1781175" cy="264560"/>
    <xdr:sp macro="" textlink="">
      <xdr:nvSpPr>
        <xdr:cNvPr id="18" name="TextBox 17"/>
        <xdr:cNvSpPr txBox="1"/>
      </xdr:nvSpPr>
      <xdr:spPr>
        <a:xfrm>
          <a:off x="46948725" y="15249525"/>
          <a:ext cx="17811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cols>
    <col min="1" max="16384" width="9.140625" style="5"/>
  </cols>
  <sheetData>
    <row r="1" spans="1:1" x14ac:dyDescent="0.25">
      <c r="A1" s="5" t="s">
        <v>1221</v>
      </c>
    </row>
    <row r="2" spans="1:1" x14ac:dyDescent="0.25">
      <c r="A2" s="5" t="s">
        <v>1222</v>
      </c>
    </row>
    <row r="3" spans="1:1" x14ac:dyDescent="0.25">
      <c r="A3" s="5" t="s">
        <v>1223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094"/>
  <sheetViews>
    <sheetView tabSelected="1"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ColWidth="8.7109375" defaultRowHeight="15" x14ac:dyDescent="0.25"/>
  <cols>
    <col min="1" max="1" width="13.85546875" style="6" bestFit="1" customWidth="1"/>
    <col min="2" max="2" width="27.140625" style="6" customWidth="1"/>
    <col min="3" max="3" width="14.42578125" style="6" customWidth="1"/>
    <col min="4" max="4" width="12.140625" style="6" customWidth="1"/>
    <col min="5" max="5" width="12.5703125" style="6" customWidth="1"/>
    <col min="6" max="6" width="18" style="6" customWidth="1"/>
    <col min="7" max="7" width="18.140625" style="6" bestFit="1" customWidth="1"/>
    <col min="8" max="8" width="10" style="6" bestFit="1" customWidth="1"/>
    <col min="9" max="9" width="9.140625" style="6" bestFit="1" customWidth="1"/>
    <col min="10" max="11" width="13.85546875" style="8" bestFit="1" customWidth="1"/>
    <col min="12" max="12" width="13.85546875" style="8" customWidth="1"/>
    <col min="13" max="13" width="12.7109375" style="6" bestFit="1" customWidth="1"/>
    <col min="14" max="14" width="15.5703125" style="6" bestFit="1" customWidth="1"/>
    <col min="15" max="15" width="13.85546875" style="6" customWidth="1"/>
    <col min="16" max="16" width="16.140625" style="6" bestFit="1" customWidth="1"/>
    <col min="17" max="17" width="12.85546875" style="6" customWidth="1"/>
    <col min="18" max="18" width="15.5703125" style="6" bestFit="1" customWidth="1"/>
    <col min="19" max="19" width="14.5703125" style="6" bestFit="1" customWidth="1"/>
    <col min="20" max="20" width="15.85546875" style="6" bestFit="1" customWidth="1"/>
    <col min="21" max="21" width="19.42578125" style="6" bestFit="1" customWidth="1"/>
    <col min="22" max="22" width="20.5703125" style="6" bestFit="1" customWidth="1"/>
    <col min="23" max="23" width="18.85546875" style="6" bestFit="1" customWidth="1"/>
    <col min="24" max="24" width="16.5703125" style="6" customWidth="1"/>
    <col min="25" max="25" width="21.5703125" style="8" customWidth="1"/>
    <col min="26" max="26" width="21.5703125" style="8" bestFit="1" customWidth="1"/>
    <col min="27" max="27" width="25.85546875" style="8" bestFit="1" customWidth="1"/>
    <col min="28" max="28" width="15.42578125" style="21" bestFit="1" customWidth="1"/>
    <col min="29" max="29" width="12" style="2" bestFit="1" customWidth="1"/>
    <col min="30" max="30" width="6" style="2" bestFit="1" customWidth="1"/>
    <col min="31" max="31" width="12.85546875" style="2" customWidth="1"/>
    <col min="32" max="32" width="8.28515625" style="2" bestFit="1" customWidth="1"/>
    <col min="33" max="33" width="10.28515625" style="2" bestFit="1" customWidth="1"/>
    <col min="34" max="34" width="7.5703125" style="2" bestFit="1" customWidth="1"/>
    <col min="35" max="35" width="11.28515625" style="2" bestFit="1" customWidth="1"/>
    <col min="36" max="36" width="10.28515625" style="2" bestFit="1" customWidth="1"/>
    <col min="37" max="37" width="23.85546875" style="2" customWidth="1"/>
    <col min="38" max="38" width="18.28515625" style="2" bestFit="1" customWidth="1"/>
    <col min="39" max="39" width="10.140625" style="2" customWidth="1"/>
    <col min="40" max="40" width="13.7109375" style="2" bestFit="1" customWidth="1"/>
    <col min="41" max="41" width="21.85546875" style="2" bestFit="1" customWidth="1"/>
    <col min="42" max="42" width="21.7109375" style="2" customWidth="1"/>
    <col min="43" max="43" width="10.140625" style="2" bestFit="1" customWidth="1"/>
    <col min="44" max="44" width="11" style="2" bestFit="1" customWidth="1"/>
    <col min="45" max="45" width="21.85546875" style="2" customWidth="1"/>
    <col min="46" max="46" width="23" style="2" bestFit="1" customWidth="1"/>
    <col min="47" max="48" width="10.140625" style="2" customWidth="1"/>
    <col min="49" max="49" width="21.85546875" style="2" bestFit="1" customWidth="1"/>
    <col min="50" max="50" width="24.85546875" style="2" bestFit="1" customWidth="1"/>
    <col min="51" max="51" width="10.5703125" style="2" bestFit="1" customWidth="1"/>
    <col min="52" max="52" width="11" style="2" bestFit="1" customWidth="1"/>
    <col min="53" max="53" width="21.85546875" style="2" customWidth="1"/>
    <col min="54" max="54" width="22.140625" style="2" customWidth="1"/>
    <col min="55" max="56" width="10.140625" style="2" customWidth="1"/>
    <col min="57" max="57" width="4.28515625" style="6" customWidth="1"/>
    <col min="58" max="58" width="17.42578125" style="2" bestFit="1" customWidth="1"/>
    <col min="59" max="59" width="17.5703125" style="2" bestFit="1" customWidth="1"/>
    <col min="60" max="16384" width="8.7109375" style="2"/>
  </cols>
  <sheetData>
    <row r="1" spans="1:59" s="28" customFormat="1" ht="48.75" customHeight="1" x14ac:dyDescent="0.25">
      <c r="A1" s="27" t="s">
        <v>0</v>
      </c>
      <c r="B1" s="27" t="s">
        <v>1200</v>
      </c>
      <c r="C1" s="27" t="s">
        <v>972</v>
      </c>
      <c r="D1" s="27" t="s">
        <v>942</v>
      </c>
      <c r="E1" s="27" t="s">
        <v>985</v>
      </c>
      <c r="F1" s="27" t="s">
        <v>986</v>
      </c>
      <c r="G1" s="27" t="s">
        <v>987</v>
      </c>
      <c r="H1" s="27" t="s">
        <v>973</v>
      </c>
      <c r="I1" s="27" t="s">
        <v>984</v>
      </c>
      <c r="J1" s="27" t="s">
        <v>1201</v>
      </c>
      <c r="K1" s="27" t="s">
        <v>1202</v>
      </c>
      <c r="L1" s="27" t="s">
        <v>1203</v>
      </c>
      <c r="M1" s="27" t="s">
        <v>1204</v>
      </c>
      <c r="N1" s="27" t="s">
        <v>1205</v>
      </c>
      <c r="O1" s="27" t="s">
        <v>1206</v>
      </c>
      <c r="P1" s="27" t="s">
        <v>1207</v>
      </c>
      <c r="Q1" s="27" t="s">
        <v>1208</v>
      </c>
      <c r="R1" s="27" t="s">
        <v>1209</v>
      </c>
      <c r="S1" s="27" t="s">
        <v>1210</v>
      </c>
      <c r="T1" s="27" t="s">
        <v>1211</v>
      </c>
      <c r="U1" s="27" t="s">
        <v>1212</v>
      </c>
      <c r="V1" s="27" t="s">
        <v>1213</v>
      </c>
      <c r="W1" s="27" t="s">
        <v>1214</v>
      </c>
      <c r="X1" s="27" t="s">
        <v>1215</v>
      </c>
      <c r="Y1" s="27" t="s">
        <v>1216</v>
      </c>
      <c r="Z1" s="27" t="s">
        <v>1217</v>
      </c>
      <c r="AA1" s="27" t="s">
        <v>1218</v>
      </c>
      <c r="AB1" s="32" t="s">
        <v>1220</v>
      </c>
      <c r="AC1" s="28" t="s">
        <v>942</v>
      </c>
      <c r="AD1" s="28" t="s">
        <v>943</v>
      </c>
      <c r="AE1" s="28" t="s">
        <v>972</v>
      </c>
      <c r="AF1" s="28" t="s">
        <v>984</v>
      </c>
      <c r="AG1" s="28" t="s">
        <v>973</v>
      </c>
      <c r="AH1" s="28" t="s">
        <v>969</v>
      </c>
      <c r="AI1" s="28" t="s">
        <v>971</v>
      </c>
      <c r="AJ1" s="28" t="s">
        <v>970</v>
      </c>
      <c r="AK1" s="33" t="s">
        <v>1224</v>
      </c>
      <c r="AL1" s="33" t="s">
        <v>1225</v>
      </c>
      <c r="AM1" s="33" t="s">
        <v>1226</v>
      </c>
      <c r="AN1" s="33" t="s">
        <v>1227</v>
      </c>
      <c r="AO1" s="34" t="s">
        <v>1228</v>
      </c>
      <c r="AP1" s="34" t="s">
        <v>1229</v>
      </c>
      <c r="AQ1" s="34" t="s">
        <v>1230</v>
      </c>
      <c r="AR1" s="34" t="s">
        <v>1231</v>
      </c>
      <c r="AS1" s="34" t="s">
        <v>1232</v>
      </c>
      <c r="AT1" s="34" t="s">
        <v>1233</v>
      </c>
      <c r="AU1" s="34" t="s">
        <v>1230</v>
      </c>
      <c r="AV1" s="34" t="s">
        <v>1231</v>
      </c>
      <c r="AW1" s="35" t="s">
        <v>1234</v>
      </c>
      <c r="AX1" s="35" t="s">
        <v>1235</v>
      </c>
      <c r="AY1" s="35" t="s">
        <v>1230</v>
      </c>
      <c r="AZ1" s="35" t="s">
        <v>1231</v>
      </c>
      <c r="BA1" s="35" t="s">
        <v>1236</v>
      </c>
      <c r="BB1" s="35" t="s">
        <v>1237</v>
      </c>
      <c r="BC1" s="35" t="s">
        <v>1230</v>
      </c>
      <c r="BD1" s="35" t="s">
        <v>1231</v>
      </c>
      <c r="BE1" s="27"/>
      <c r="BF1" s="34" t="s">
        <v>1219</v>
      </c>
      <c r="BG1" s="35" t="s">
        <v>1193</v>
      </c>
    </row>
    <row r="2" spans="1:59" x14ac:dyDescent="0.25">
      <c r="A2" s="6" t="str">
        <f t="shared" ref="A2:A65" si="0">IF(J2&gt;0,"complete","fragment")</f>
        <v>complete</v>
      </c>
      <c r="B2" s="6" t="s">
        <v>3</v>
      </c>
      <c r="C2" s="6" t="str">
        <f t="shared" ref="C2:C65" si="1">D2&amp;" "&amp;E2</f>
        <v>FU16 441</v>
      </c>
      <c r="D2" s="6" t="s">
        <v>2</v>
      </c>
      <c r="E2" s="20">
        <v>441</v>
      </c>
      <c r="F2" s="6" t="s">
        <v>1</v>
      </c>
      <c r="G2" s="6" t="s">
        <v>4</v>
      </c>
      <c r="H2" s="6" t="s">
        <v>977</v>
      </c>
      <c r="I2" s="6" t="s">
        <v>5</v>
      </c>
      <c r="J2" s="29">
        <v>57.220999999999997</v>
      </c>
      <c r="K2" s="8">
        <f t="shared" ref="K2:K65" si="2">IF(J2&gt;0,LOG(J2),"")</f>
        <v>1.7575554433099811</v>
      </c>
      <c r="L2" s="8">
        <f t="shared" ref="L2:L65" si="3">IF(J2&gt;0,LN(J2*100),"")</f>
        <v>8.6520911498641961</v>
      </c>
      <c r="M2" s="8"/>
      <c r="N2" s="8"/>
      <c r="O2" s="8">
        <v>5.7670000000000003</v>
      </c>
      <c r="P2" s="8">
        <f>1.093+2.744+2.061</f>
        <v>5.8979999999999997</v>
      </c>
      <c r="Q2" s="8"/>
      <c r="R2" s="8"/>
      <c r="S2" s="8">
        <v>6.3239999999999998</v>
      </c>
      <c r="T2" s="8">
        <f>1.718+2.545+2.314</f>
        <v>6.577</v>
      </c>
      <c r="U2" s="8"/>
      <c r="V2" s="8">
        <f>P2/O2</f>
        <v>1.0227154499739899</v>
      </c>
      <c r="W2" s="8"/>
      <c r="X2" s="8">
        <f>T2/S2</f>
        <v>1.0400063251106895</v>
      </c>
      <c r="Y2" s="31">
        <f t="shared" ref="Y2:Y65" si="4">IF(COUNT(U2:X2)&gt;0,LOG(1/AVERAGE(U2:X2)),"")</f>
        <v>-1.3410657566508525E-2</v>
      </c>
      <c r="Z2" s="31" t="str">
        <f t="shared" ref="Z2:Z65" si="5">IF(A2="fragment",IF(ISNUMBER(Y2)=TRUE,Y2,""),"")</f>
        <v/>
      </c>
      <c r="AA2" s="31">
        <f t="shared" ref="AA2:AA65" si="6">IF(A2="complete",IF(ISNUMBER(Y2)=TRUE,Y2,""),"")</f>
        <v>-1.3410657566508525E-2</v>
      </c>
      <c r="AB2" s="36"/>
      <c r="AC2" s="2" t="s">
        <v>2</v>
      </c>
      <c r="AD2" s="2">
        <v>441</v>
      </c>
      <c r="AE2" s="2" t="str">
        <f t="shared" ref="AE2:AE42" si="7">AC2&amp;" "&amp;AD2</f>
        <v>FU16 441</v>
      </c>
      <c r="AF2" s="2" t="s">
        <v>5</v>
      </c>
      <c r="AG2" s="2" t="s">
        <v>977</v>
      </c>
      <c r="AH2" s="2">
        <f t="shared" ref="AH2:AH42" si="8">COUNTIFS(D$2:D$1094,AC2,E$2:E$1094,AD2)</f>
        <v>10</v>
      </c>
      <c r="AI2" s="2">
        <f t="shared" ref="AI2:AI42" si="9">COUNTIFS(D$2:D$1094,AC2,E$2:E$1094,AD2,A$2:A$1094,"complete",J$2:J$1094,"&gt;0")</f>
        <v>5</v>
      </c>
      <c r="AJ2" s="2">
        <f t="shared" ref="AJ2:AJ42" si="10">COUNTIFS(D$2:D$1094,AC2,E$2:E$1094,AD2,A$2:A$1094,"fragment",Z$2:Z$1094,"&gt;-999")</f>
        <v>5</v>
      </c>
      <c r="AK2" s="14">
        <f t="shared" ref="AK2:AK42" si="11">AVERAGEIFS(J$2:J$1094,D$2:D$1094,AC2,E$2:E$1094,AD2)</f>
        <v>64.618799999999993</v>
      </c>
      <c r="AL2" s="15">
        <f t="shared" ref="AL2:AL42" si="12">AVERAGEIFS(L$2:L$1094,D$2:D$1094,AC2,E$2:E$1094,AD2)</f>
        <v>8.6843006522446942</v>
      </c>
      <c r="AM2" s="15">
        <f t="array" ref="AM2">STDEV(IF(C$2:C$1094=AE2,IF(L$2:L$1094&gt;0,L$2:L$1094)))/SQRT(AI2)</f>
        <v>0.20650180366825291</v>
      </c>
      <c r="AN2" s="15">
        <f>SQRT((AM2)^2+(0.02366153)^2)</f>
        <v>0.20785298390973986</v>
      </c>
      <c r="AO2" s="16">
        <f>AVERAGE(IF($D$2:$D$1094=$AC2,IF($E$2:$E$1094=$AD2,IF(ISNUMBER($AA$2:$AA$1094)=TRUE,10^($AA$2:$AA$1094*1.66956+1.732077)))))</f>
        <v>51.249201428967758</v>
      </c>
      <c r="AP2" s="17">
        <f t="array" ref="AP2">AVERAGE(IF($D$2:$D$1094=$AC2,IF($E$2:$E$1094=$AD2,IF(ISNUMBER($AA$2:$AA$1094)=TRUE,LN(100*10^($AA$2:$AA$1094*1.66956+1.732077))))))</f>
        <v>8.3745263909786534</v>
      </c>
      <c r="AQ2" s="17">
        <v>7.9711786720581896</v>
      </c>
      <c r="AR2" s="19">
        <v>8.7785573037067408</v>
      </c>
      <c r="AS2" s="16">
        <f t="array" ref="AS2">AVERAGE(IF($D$2:$D$1094=$AC2,IF($E$2:$E$1094=$AD2,IF(ISNUMBER($Z$2:$Z$1094)=TRUE,10^($Z$2:$Z$1094*1.66956+1.732077)))))</f>
        <v>48.184726387335971</v>
      </c>
      <c r="AT2" s="17">
        <f t="array" ref="AT2">AVERAGE(IF($D$2:$D$1094=$AC2,IF($E$2:$E$1094=$AD2,IF(ISNUMBER($Z$2:$Z$1094)=TRUE,LN(100*10^($Z$2:$Z$1094*1.66956+1.732077))))))</f>
        <v>8.4215577531257999</v>
      </c>
      <c r="AU2" s="17">
        <v>8.0170648891562593</v>
      </c>
      <c r="AV2" s="17">
        <v>8.8241657952054204</v>
      </c>
      <c r="AW2" s="12">
        <f t="array" ref="AW2">AVERAGE(IF($D$2:$D$1094=$AC2,IF($E$2:$E$1094=$AD2,IF(ISNUMBER($AA$2:$AA$1094)=TRUE,10^($AA$2:$AA$1094*2.04+1.96)))))</f>
        <v>75.630911160781437</v>
      </c>
      <c r="AX2" s="13">
        <f t="array" ref="AX2">AVERAGE(IF($D$2:$D$1094=$AC2,IF($E$2:$E$1094=$AD2,IF(ISNUMBER($AA$2:$AA$1094)=TRUE,LN(100*10^($AA$2:$AA$1094*2.04+1.96))))))</f>
        <v>8.8507695581246111</v>
      </c>
      <c r="AY2" s="13">
        <v>8.3597430411702192</v>
      </c>
      <c r="AZ2" s="18">
        <v>9.3577024511358609</v>
      </c>
      <c r="BA2" s="12">
        <f t="array" ref="BA2">AVERAGE(IF($D$2:$D$1094=$AC2,IF($E$2:$E$1094=$AD2,IF(ISNUMBER($Z$2:$Z$1094)=TRUE,10^($Z$2:$Z$1094*2.04+1.96)))))</f>
        <v>80.67502735080609</v>
      </c>
      <c r="BB2" s="13">
        <f t="array" ref="BB2">AVERAGE(IF($D$2:$D$1094=$AC2,IF($E$2:$E$1094=$AD2,IF(ISNUMBER($Z$2:$Z$1094)=TRUE,LN(100*10^($Z$2:$Z$1094*2.04+1.96))))))</f>
        <v>8.9082361833313577</v>
      </c>
      <c r="BC2" s="13">
        <v>8.4196914671427407</v>
      </c>
      <c r="BD2" s="13">
        <v>9.4160776950412099</v>
      </c>
      <c r="BE2" s="8"/>
      <c r="BF2" s="17">
        <f t="shared" ref="BF2:BF42" si="13">AT2-AP2</f>
        <v>4.7031362147146538E-2</v>
      </c>
      <c r="BG2" s="13">
        <f t="shared" ref="BG2:BG42" si="14">BB2-AX2</f>
        <v>5.7466625206746613E-2</v>
      </c>
    </row>
    <row r="3" spans="1:59" x14ac:dyDescent="0.25">
      <c r="A3" s="6" t="str">
        <f t="shared" si="0"/>
        <v>complete</v>
      </c>
      <c r="B3" s="6" t="s">
        <v>3</v>
      </c>
      <c r="C3" s="6" t="str">
        <f t="shared" si="1"/>
        <v>FU16 441</v>
      </c>
      <c r="D3" s="6" t="s">
        <v>2</v>
      </c>
      <c r="E3" s="20">
        <v>441</v>
      </c>
      <c r="F3" s="6" t="s">
        <v>1</v>
      </c>
      <c r="G3" s="6" t="s">
        <v>6</v>
      </c>
      <c r="H3" s="6" t="s">
        <v>977</v>
      </c>
      <c r="I3" s="6" t="s">
        <v>5</v>
      </c>
      <c r="J3" s="29">
        <v>36.590000000000003</v>
      </c>
      <c r="K3" s="8">
        <f t="shared" si="2"/>
        <v>1.5633624094866074</v>
      </c>
      <c r="L3" s="8">
        <f t="shared" si="3"/>
        <v>8.2049451650192076</v>
      </c>
      <c r="M3" s="8">
        <v>2.91</v>
      </c>
      <c r="N3" s="8">
        <f>0.934+2.785+0.673</f>
        <v>4.3920000000000003</v>
      </c>
      <c r="O3" s="8">
        <v>4.0570000000000004</v>
      </c>
      <c r="P3" s="8">
        <f>1.832+2.2</f>
        <v>4.032</v>
      </c>
      <c r="Q3" s="8">
        <v>0.63300000000000001</v>
      </c>
      <c r="R3" s="8">
        <f>0.507+0.514+0.392</f>
        <v>1.4129999999999998</v>
      </c>
      <c r="S3" s="8"/>
      <c r="T3" s="8"/>
      <c r="U3" s="8">
        <f>N3/M3</f>
        <v>1.5092783505154639</v>
      </c>
      <c r="V3" s="8">
        <f>P3/O3</f>
        <v>0.99383781119053483</v>
      </c>
      <c r="W3" s="8">
        <f>R3/Q3</f>
        <v>2.2322274881516586</v>
      </c>
      <c r="X3" s="8"/>
      <c r="Y3" s="31">
        <f t="shared" si="4"/>
        <v>-0.19823024706129802</v>
      </c>
      <c r="Z3" s="31" t="str">
        <f t="shared" si="5"/>
        <v/>
      </c>
      <c r="AA3" s="31">
        <f t="shared" si="6"/>
        <v>-0.19823024706129802</v>
      </c>
      <c r="AB3" s="36"/>
      <c r="AC3" s="2" t="s">
        <v>17</v>
      </c>
      <c r="AD3" s="2">
        <v>436</v>
      </c>
      <c r="AE3" s="2" t="str">
        <f t="shared" si="7"/>
        <v>FU29 436</v>
      </c>
      <c r="AF3" s="2" t="s">
        <v>20</v>
      </c>
      <c r="AG3" s="2" t="s">
        <v>974</v>
      </c>
      <c r="AH3" s="2">
        <f t="shared" si="8"/>
        <v>48</v>
      </c>
      <c r="AI3" s="2">
        <f t="shared" si="9"/>
        <v>17</v>
      </c>
      <c r="AJ3" s="2">
        <f t="shared" si="10"/>
        <v>31</v>
      </c>
      <c r="AK3" s="14">
        <f t="shared" si="11"/>
        <v>50.526172352941174</v>
      </c>
      <c r="AL3" s="15">
        <f t="shared" si="12"/>
        <v>8.4041464380599979</v>
      </c>
      <c r="AM3" s="15">
        <f t="array" ref="AM3">STDEV(IF(C$2:C$1094=AE3,IF(L$2:L$1094&gt;0,L$2:L$1094)))/SQRT(AI3)</f>
        <v>0.13001547864958651</v>
      </c>
      <c r="AN3" s="15">
        <f t="shared" ref="AN3:AN42" si="15">SQRT((AM3)^2+(0.02366153)^2)</f>
        <v>0.13215102228292441</v>
      </c>
      <c r="AO3" s="16">
        <f t="array" ref="AO3">AVERAGE(IF($D$2:$D$1094=$AC3,IF($E$2:$E$1094=$AD3,IF(ISNUMBER($AA$2:$AA$1094)=TRUE,10^($AA$2:$AA$1094*1.66956+1.732077)))))</f>
        <v>45.889039310003632</v>
      </c>
      <c r="AP3" s="17">
        <f t="array" ref="AP3">AVERAGE(IF($D$2:$D$1094=$AC3,IF($E$2:$E$1094=$AD3,IF(ISNUMBER($AA$2:$AA$1094)=TRUE,LN(100*10^($AA$2:$AA$1094*1.66956+1.732077))))))</f>
        <v>8.314801024155825</v>
      </c>
      <c r="AQ3" s="17">
        <v>7.9280980363577003</v>
      </c>
      <c r="AR3" s="19">
        <v>8.7025395825037908</v>
      </c>
      <c r="AS3" s="16">
        <f t="array" ref="AS3">AVERAGE(IF($D$2:$D$1094=$AC3,IF($E$2:$E$1094=$AD3,IF(ISNUMBER($Z$2:$Z$1094)=TRUE,10^($Z$2:$Z$1094*1.66956+1.732077)))))</f>
        <v>37.000675080242438</v>
      </c>
      <c r="AT3" s="17">
        <f t="array" ref="AT3">AVERAGE(IF($D$2:$D$1094=$AC3,IF($E$2:$E$1094=$AD3,IF(ISNUMBER($Z$2:$Z$1094)=TRUE,LN(100*10^($Z$2:$Z$1094*1.66956+1.732077))))))</f>
        <v>8.1235568733466685</v>
      </c>
      <c r="AU3" s="17">
        <v>7.7475051729055604</v>
      </c>
      <c r="AV3" s="17">
        <v>8.5013360092335493</v>
      </c>
      <c r="AW3" s="12">
        <f t="array" ref="AW3">AVERAGE(IF($D$2:$D$1094=$AC3,IF($E$2:$E$1094=$AD3,IF(ISNUMBER($AA$2:$AA$1094)=TRUE,10^($AA$2:$AA$1094*2.04+1.96)))))</f>
        <v>77.043464535453424</v>
      </c>
      <c r="AX3" s="13">
        <f t="array" ref="AX3">AVERAGE(IF($D$2:$D$1094=$AC3,IF($E$2:$E$1094=$AD3,IF(ISNUMBER($AA$2:$AA$1094)=TRUE,LN(100*10^($AA$2:$AA$1094*2.04+1.96))))))</f>
        <v>8.7777923974843421</v>
      </c>
      <c r="AY3" s="13">
        <v>8.3056050383922795</v>
      </c>
      <c r="AZ3" s="18">
        <v>9.2639343995383499</v>
      </c>
      <c r="BA3" s="12">
        <f t="array" ref="BA3">AVERAGE(IF($D$2:$D$1094=$AC3,IF($E$2:$E$1094=$AD3,IF(ISNUMBER($Z$2:$Z$1094)=TRUE,10^($Z$2:$Z$1094*2.04+1.96)))))</f>
        <v>58.944696797185422</v>
      </c>
      <c r="BB3" s="13">
        <f t="array" ref="BB3">AVERAGE(IF($D$2:$D$1094=$AC3,IF($E$2:$E$1094=$AD3,IF(ISNUMBER($Z$2:$Z$1094)=TRUE,LN(100*10^($Z$2:$Z$1094*2.04+1.96))))))</f>
        <v>8.5441152204732234</v>
      </c>
      <c r="BC3" s="13">
        <v>8.0853162176265592</v>
      </c>
      <c r="BD3" s="13">
        <v>9.0173802403093095</v>
      </c>
      <c r="BE3" s="8"/>
      <c r="BF3" s="17">
        <f t="shared" si="13"/>
        <v>-0.19124415080915647</v>
      </c>
      <c r="BG3" s="13">
        <f t="shared" si="14"/>
        <v>-0.23367717701111879</v>
      </c>
    </row>
    <row r="4" spans="1:59" x14ac:dyDescent="0.25">
      <c r="A4" s="6" t="str">
        <f t="shared" si="0"/>
        <v>complete</v>
      </c>
      <c r="B4" s="6" t="s">
        <v>3</v>
      </c>
      <c r="C4" s="6" t="str">
        <f t="shared" si="1"/>
        <v>FU16 441</v>
      </c>
      <c r="D4" s="6" t="s">
        <v>2</v>
      </c>
      <c r="E4" s="20">
        <v>441</v>
      </c>
      <c r="F4" s="6" t="s">
        <v>1</v>
      </c>
      <c r="G4" s="6" t="s">
        <v>7</v>
      </c>
      <c r="H4" s="6" t="s">
        <v>977</v>
      </c>
      <c r="I4" s="6" t="s">
        <v>5</v>
      </c>
      <c r="J4" s="29">
        <v>41.526000000000003</v>
      </c>
      <c r="K4" s="8">
        <f t="shared" si="2"/>
        <v>1.6183200996243996</v>
      </c>
      <c r="L4" s="8">
        <f t="shared" si="3"/>
        <v>8.331489923075873</v>
      </c>
      <c r="M4" s="8">
        <v>1.724</v>
      </c>
      <c r="N4" s="8">
        <f>0.774+1.012</f>
        <v>1.786</v>
      </c>
      <c r="O4" s="8">
        <v>1.55</v>
      </c>
      <c r="P4" s="8">
        <f>0.635+1.065+0.86</f>
        <v>2.56</v>
      </c>
      <c r="Q4" s="8"/>
      <c r="R4" s="8"/>
      <c r="S4" s="8">
        <v>4.2569999999999997</v>
      </c>
      <c r="T4" s="8">
        <f>1.462+2.155</f>
        <v>3.617</v>
      </c>
      <c r="U4" s="8">
        <f>N4/M4</f>
        <v>1.0359628770301625</v>
      </c>
      <c r="V4" s="8">
        <f>P4/O4</f>
        <v>1.6516129032258065</v>
      </c>
      <c r="W4" s="8"/>
      <c r="X4" s="8">
        <f>T4/S4</f>
        <v>0.84965938454310552</v>
      </c>
      <c r="Y4" s="31">
        <f t="shared" si="4"/>
        <v>-7.1542679106832999E-2</v>
      </c>
      <c r="Z4" s="31" t="str">
        <f t="shared" si="5"/>
        <v/>
      </c>
      <c r="AA4" s="31">
        <f t="shared" si="6"/>
        <v>-7.1542679106832999E-2</v>
      </c>
      <c r="AB4" s="36"/>
      <c r="AC4" s="2" t="s">
        <v>64</v>
      </c>
      <c r="AD4" s="2">
        <v>436</v>
      </c>
      <c r="AE4" s="2" t="str">
        <f t="shared" si="7"/>
        <v>FU31 436</v>
      </c>
      <c r="AF4" s="2" t="s">
        <v>20</v>
      </c>
      <c r="AG4" s="2" t="s">
        <v>974</v>
      </c>
      <c r="AH4" s="2">
        <f t="shared" si="8"/>
        <v>18</v>
      </c>
      <c r="AI4" s="2">
        <f t="shared" si="9"/>
        <v>7</v>
      </c>
      <c r="AJ4" s="2">
        <f t="shared" si="10"/>
        <v>11</v>
      </c>
      <c r="AK4" s="14">
        <f t="shared" si="11"/>
        <v>40.172942857142857</v>
      </c>
      <c r="AL4" s="15">
        <f t="shared" si="12"/>
        <v>8.1418338046537713</v>
      </c>
      <c r="AM4" s="15">
        <f t="array" ref="AM4">STDEV(IF(C$2:C$1094=AE4,IF(L$2:L$1094&gt;0,L$2:L$1094)))/SQRT(AI4)</f>
        <v>0.230315146119382</v>
      </c>
      <c r="AN4" s="15">
        <f t="shared" si="15"/>
        <v>0.23152739478068937</v>
      </c>
      <c r="AO4" s="16">
        <f t="array" ref="AO4">AVERAGE(IF($D$2:$D$1094=$AC4,IF($E$2:$E$1094=$AD4,IF(ISNUMBER($AA$2:$AA$1094)=TRUE,10^($AA$2:$AA$1094*1.66956+1.732077)))))</f>
        <v>39.048553774946562</v>
      </c>
      <c r="AP4" s="17">
        <f t="array" ref="AP4">AVERAGE(IF($D$2:$D$1094=$AC4,IF($E$2:$E$1094=$AD4,IF(ISNUMBER($AA$2:$AA$1094)=TRUE,LN(100*10^($AA$2:$AA$1094*1.66956+1.732077))))))</f>
        <v>8.1805815198680278</v>
      </c>
      <c r="AQ4" s="17">
        <v>7.7745773174858002</v>
      </c>
      <c r="AR4" s="19">
        <v>8.5889185664805492</v>
      </c>
      <c r="AS4" s="16">
        <f t="array" ref="AS4">AVERAGE(IF($D$2:$D$1094=$AC4,IF($E$2:$E$1094=$AD4,IF(ISNUMBER($Z$2:$Z$1094)=TRUE,10^($Z$2:$Z$1094*1.66956+1.732077)))))</f>
        <v>36.813130138935144</v>
      </c>
      <c r="AT4" s="17">
        <f t="array" ref="AT4">AVERAGE(IF($D$2:$D$1094=$AC4,IF($E$2:$E$1094=$AD4,IF(ISNUMBER($Z$2:$Z$1094)=TRUE,LN(100*10^($Z$2:$Z$1094*1.66956+1.732077))))))</f>
        <v>8.1499627130730694</v>
      </c>
      <c r="AU4" s="17">
        <v>7.76498888103347</v>
      </c>
      <c r="AV4" s="17">
        <v>8.5331375089332706</v>
      </c>
      <c r="AW4" s="12">
        <f t="array" ref="AW4">AVERAGE(IF($D$2:$D$1094=$AC4,IF($E$2:$E$1094=$AD4,IF(ISNUMBER($AA$2:$AA$1094)=TRUE,10^($AA$2:$AA$1094*2.04+1.96)))))</f>
        <v>62.863596395248422</v>
      </c>
      <c r="AX4" s="13">
        <f t="array" ref="AX4">AVERAGE(IF($D$2:$D$1094=$AC4,IF($E$2:$E$1094=$AD4,IF(ISNUMBER($AA$2:$AA$1094)=TRUE,LN(100*10^($AA$2:$AA$1094*2.04+1.96))))))</f>
        <v>8.6137924281827853</v>
      </c>
      <c r="AY4" s="13">
        <v>8.1174782619960109</v>
      </c>
      <c r="AZ4" s="18">
        <v>9.1226716648693493</v>
      </c>
      <c r="BA4" s="12">
        <f t="array" ref="BA4">AVERAGE(IF($D$2:$D$1094=$AC4,IF($E$2:$E$1094=$AD4,IF(ISNUMBER($Z$2:$Z$1094)=TRUE,10^($Z$2:$Z$1094*2.04+1.96)))))</f>
        <v>58.047706798879169</v>
      </c>
      <c r="BB4" s="13">
        <f t="array" ref="BB4">AVERAGE(IF($D$2:$D$1094=$AC4,IF($E$2:$E$1094=$AD4,IF(ISNUMBER($Z$2:$Z$1094)=TRUE,LN(100*10^($Z$2:$Z$1094*2.04+1.96))))))</f>
        <v>8.576379956716222</v>
      </c>
      <c r="BC4" s="13">
        <v>8.1095621157983295</v>
      </c>
      <c r="BD4" s="13">
        <v>9.0604104771718106</v>
      </c>
      <c r="BE4" s="8"/>
      <c r="BF4" s="17">
        <f t="shared" si="13"/>
        <v>-3.0618806794958431E-2</v>
      </c>
      <c r="BG4" s="13">
        <f t="shared" si="14"/>
        <v>-3.7412471466563346E-2</v>
      </c>
    </row>
    <row r="5" spans="1:59" x14ac:dyDescent="0.25">
      <c r="A5" s="6" t="str">
        <f t="shared" si="0"/>
        <v>fragment</v>
      </c>
      <c r="B5" s="6" t="s">
        <v>3</v>
      </c>
      <c r="C5" s="6" t="str">
        <f t="shared" si="1"/>
        <v>FU16 441</v>
      </c>
      <c r="D5" s="6" t="s">
        <v>2</v>
      </c>
      <c r="E5" s="20">
        <v>441</v>
      </c>
      <c r="F5" s="6" t="s">
        <v>1</v>
      </c>
      <c r="G5" s="6" t="s">
        <v>8</v>
      </c>
      <c r="H5" s="6" t="s">
        <v>977</v>
      </c>
      <c r="I5" s="6" t="s">
        <v>5</v>
      </c>
      <c r="J5" s="29"/>
      <c r="K5" s="8" t="str">
        <f t="shared" si="2"/>
        <v/>
      </c>
      <c r="L5" s="8" t="str">
        <f t="shared" si="3"/>
        <v/>
      </c>
      <c r="M5" s="8"/>
      <c r="N5" s="8"/>
      <c r="O5" s="8">
        <v>1.9410000000000001</v>
      </c>
      <c r="P5" s="8">
        <v>1.905</v>
      </c>
      <c r="Q5" s="8">
        <v>3.4470000000000001</v>
      </c>
      <c r="R5" s="8">
        <f>1.344+1.287</f>
        <v>2.6310000000000002</v>
      </c>
      <c r="S5" s="8"/>
      <c r="T5" s="8"/>
      <c r="U5" s="8"/>
      <c r="V5" s="8">
        <f>P5/O5</f>
        <v>0.98145285935085003</v>
      </c>
      <c r="W5" s="8">
        <f>R5/Q5</f>
        <v>0.76327241079199304</v>
      </c>
      <c r="X5" s="8"/>
      <c r="Y5" s="31">
        <f t="shared" si="4"/>
        <v>5.9302944342555612E-2</v>
      </c>
      <c r="Z5" s="31">
        <f t="shared" si="5"/>
        <v>5.9302944342555612E-2</v>
      </c>
      <c r="AA5" s="31" t="str">
        <f t="shared" si="6"/>
        <v/>
      </c>
      <c r="AB5" s="36"/>
      <c r="AC5" s="2" t="s">
        <v>93</v>
      </c>
      <c r="AD5" s="2">
        <v>562</v>
      </c>
      <c r="AE5" s="2" t="str">
        <f t="shared" si="7"/>
        <v>FU43 562</v>
      </c>
      <c r="AF5" s="2" t="s">
        <v>5</v>
      </c>
      <c r="AG5" s="6" t="s">
        <v>976</v>
      </c>
      <c r="AH5" s="2">
        <f t="shared" si="8"/>
        <v>18</v>
      </c>
      <c r="AI5" s="2">
        <f t="shared" si="9"/>
        <v>10</v>
      </c>
      <c r="AJ5" s="2">
        <f t="shared" si="10"/>
        <v>8</v>
      </c>
      <c r="AK5" s="14">
        <f t="shared" si="11"/>
        <v>16.034020999999999</v>
      </c>
      <c r="AL5" s="15">
        <f t="shared" si="12"/>
        <v>7.242310998288306</v>
      </c>
      <c r="AM5" s="15">
        <f t="array" ref="AM5">STDEV(IF(C$2:C$1094=AE5,IF(L$2:L$1094&gt;0,L$2:L$1094)))/SQRT(AI5)</f>
        <v>0.18362238984771317</v>
      </c>
      <c r="AN5" s="15">
        <f t="shared" si="15"/>
        <v>0.18514062238019632</v>
      </c>
      <c r="AO5" s="16">
        <f t="array" ref="AO5">AVERAGE(IF($D$2:$D$1094=$AC5,IF($E$2:$E$1094=$AD5,IF(ISNUMBER($AA$2:$AA$1094)=TRUE,10^($AA$2:$AA$1094*1.66956+1.732077)))))</f>
        <v>12.705525983296793</v>
      </c>
      <c r="AP5" s="17">
        <f t="array" ref="AP5">AVERAGE(IF($D$2:$D$1094=$AC5,IF($E$2:$E$1094=$AD5,IF(ISNUMBER($AA$2:$AA$1094)=TRUE,LN(100*10^($AA$2:$AA$1094*1.66956+1.732077))))))</f>
        <v>7.0691750549852017</v>
      </c>
      <c r="AQ5" s="17">
        <v>6.6734056914827899</v>
      </c>
      <c r="AR5" s="19">
        <v>7.4656942901864296</v>
      </c>
      <c r="AS5" s="16">
        <f t="array" ref="AS5">AVERAGE(IF($D$2:$D$1094=$AC5,IF($E$2:$E$1094=$AD5,IF(ISNUMBER($Z$2:$Z$1094)=TRUE,10^($Z$2:$Z$1094*1.66956+1.732077)))))</f>
        <v>18.289817275210343</v>
      </c>
      <c r="AT5" s="17">
        <f t="array" ref="AT5">AVERAGE(IF($D$2:$D$1094=$AC5,IF($E$2:$E$1094=$AD5,IF(ISNUMBER($Z$2:$Z$1094)=TRUE,LN(100*10^($Z$2:$Z$1094*1.66956+1.732077))))))</f>
        <v>7.4323540237613335</v>
      </c>
      <c r="AU5" s="17">
        <v>7.0327838066648596</v>
      </c>
      <c r="AV5" s="17">
        <v>7.8322241975052496</v>
      </c>
      <c r="AW5" s="12">
        <f t="array" ref="AW5">AVERAGE(IF($D$2:$D$1094=$AC5,IF($E$2:$E$1094=$AD5,IF(ISNUMBER($AA$2:$AA$1094)=TRUE,10^($AA$2:$AA$1094*2.04+1.96)))))</f>
        <v>15.869266127812214</v>
      </c>
      <c r="AX5" s="13">
        <f t="array" ref="AX5">AVERAGE(IF($D$2:$D$1094=$AC5,IF($E$2:$E$1094=$AD5,IF(ISNUMBER($AA$2:$AA$1094)=TRUE,LN(100*10^($AA$2:$AA$1094*2.04+1.96))))))</f>
        <v>7.2557884101415242</v>
      </c>
      <c r="AY5" s="13">
        <v>6.7781337367521202</v>
      </c>
      <c r="AZ5" s="18">
        <v>7.74833548337884</v>
      </c>
      <c r="BA5" s="12">
        <f t="array" ref="BA5">AVERAGE(IF($D$2:$D$1094=$AC5,IF($E$2:$E$1094=$AD5,IF(ISNUMBER($Z$2:$Z$1094)=TRUE,10^($Z$2:$Z$1094*2.04+1.96)))))</f>
        <v>24.826080702623287</v>
      </c>
      <c r="BB5" s="13">
        <f t="array" ref="BB5">AVERAGE(IF($D$2:$D$1094=$AC5,IF($E$2:$E$1094=$AD5,IF(ISNUMBER($Z$2:$Z$1094)=TRUE,LN(100*10^($Z$2:$Z$1094*2.04+1.96))))))</f>
        <v>7.6995490993670153</v>
      </c>
      <c r="BC5" s="13">
        <v>7.2172507719836201</v>
      </c>
      <c r="BD5" s="13">
        <v>8.1987007003814494</v>
      </c>
      <c r="BE5" s="8"/>
      <c r="BF5" s="17">
        <f t="shared" si="13"/>
        <v>0.36317896877613176</v>
      </c>
      <c r="BG5" s="13">
        <f t="shared" si="14"/>
        <v>0.44376068922549106</v>
      </c>
    </row>
    <row r="6" spans="1:59" x14ac:dyDescent="0.25">
      <c r="A6" s="6" t="str">
        <f t="shared" si="0"/>
        <v>complete</v>
      </c>
      <c r="B6" s="6" t="s">
        <v>3</v>
      </c>
      <c r="C6" s="6" t="str">
        <f t="shared" si="1"/>
        <v>FU16 441</v>
      </c>
      <c r="D6" s="6" t="s">
        <v>2</v>
      </c>
      <c r="E6" s="20">
        <v>441</v>
      </c>
      <c r="F6" s="6" t="s">
        <v>1</v>
      </c>
      <c r="G6" s="6" t="s">
        <v>9</v>
      </c>
      <c r="H6" s="6" t="s">
        <v>977</v>
      </c>
      <c r="I6" s="6" t="s">
        <v>5</v>
      </c>
      <c r="J6" s="29">
        <v>70.974999999999994</v>
      </c>
      <c r="K6" s="8">
        <f t="shared" si="2"/>
        <v>1.8511054011978947</v>
      </c>
      <c r="L6" s="8">
        <f t="shared" si="3"/>
        <v>8.8674978883471258</v>
      </c>
      <c r="M6" s="8">
        <v>5.5179999999999998</v>
      </c>
      <c r="N6" s="8">
        <f>1.675+2.805+1.342</f>
        <v>5.822000000000001</v>
      </c>
      <c r="O6" s="8"/>
      <c r="P6" s="8"/>
      <c r="Q6" s="8">
        <v>0.71299999999999997</v>
      </c>
      <c r="R6" s="8">
        <f>0.606+0.536</f>
        <v>1.1419999999999999</v>
      </c>
      <c r="S6" s="8">
        <v>14.534000000000001</v>
      </c>
      <c r="T6" s="8">
        <f>2.563+4.879+3.286+0.969+0.9</f>
        <v>12.597</v>
      </c>
      <c r="U6" s="8">
        <f>N6/M6</f>
        <v>1.0550924247915914</v>
      </c>
      <c r="V6" s="8"/>
      <c r="W6" s="8">
        <f>R6/Q6</f>
        <v>1.6016830294530153</v>
      </c>
      <c r="X6" s="8">
        <f>T6/S6</f>
        <v>0.86672629695885506</v>
      </c>
      <c r="Y6" s="31">
        <f t="shared" si="4"/>
        <v>-6.9853236960881956E-2</v>
      </c>
      <c r="Z6" s="31" t="str">
        <f t="shared" si="5"/>
        <v/>
      </c>
      <c r="AA6" s="31">
        <f t="shared" si="6"/>
        <v>-6.9853236960881956E-2</v>
      </c>
      <c r="AB6" s="36"/>
      <c r="AC6" s="2" t="s">
        <v>117</v>
      </c>
      <c r="AD6" s="2">
        <v>436</v>
      </c>
      <c r="AE6" s="2" t="str">
        <f t="shared" si="7"/>
        <v>FU7 436</v>
      </c>
      <c r="AF6" s="2" t="s">
        <v>5</v>
      </c>
      <c r="AG6" s="2" t="s">
        <v>974</v>
      </c>
      <c r="AH6" s="2">
        <f t="shared" si="8"/>
        <v>10</v>
      </c>
      <c r="AI6" s="2">
        <f t="shared" si="9"/>
        <v>4</v>
      </c>
      <c r="AJ6" s="2">
        <f t="shared" si="10"/>
        <v>6</v>
      </c>
      <c r="AK6" s="14">
        <f t="shared" si="11"/>
        <v>34.947749999999999</v>
      </c>
      <c r="AL6" s="15">
        <f t="shared" si="12"/>
        <v>8.0481612196384482</v>
      </c>
      <c r="AM6" s="15">
        <f t="array" ref="AM6">STDEV(IF(C$2:C$1094=AE6,IF(L$2:L$1094&gt;0,L$2:L$1094)))/SQRT(AI6)</f>
        <v>0.28076934139936915</v>
      </c>
      <c r="AN6" s="15">
        <f t="shared" si="15"/>
        <v>0.28176460223345373</v>
      </c>
      <c r="AO6" s="16">
        <f t="array" ref="AO6">AVERAGE(IF($D$2:$D$1094=$AC6,IF($E$2:$E$1094=$AD6,IF(ISNUMBER($AA$2:$AA$1094)=TRUE,10^($AA$2:$AA$1094*1.66956+1.732077)))))</f>
        <v>29.448459595853627</v>
      </c>
      <c r="AP6" s="17">
        <f t="array" ref="AP6">AVERAGE(IF($D$2:$D$1094=$AC6,IF($E$2:$E$1094=$AD6,IF(ISNUMBER($AA$2:$AA$1094)=TRUE,LN(100*10^($AA$2:$AA$1094*1.66956+1.732077))))))</f>
        <v>7.9261924862515638</v>
      </c>
      <c r="AQ6" s="17">
        <v>7.5006416678635199</v>
      </c>
      <c r="AR6" s="19">
        <v>8.35156396956957</v>
      </c>
      <c r="AS6" s="16">
        <f t="array" ref="AS6">AVERAGE(IF($D$2:$D$1094=$AC6,IF($E$2:$E$1094=$AD6,IF(ISNUMBER($Z$2:$Z$1094)=TRUE,10^($Z$2:$Z$1094*1.66956+1.732077)))))</f>
        <v>27.01995624476012</v>
      </c>
      <c r="AT6" s="17">
        <f t="array" ref="AT6">AVERAGE(IF($D$2:$D$1094=$AC6,IF($E$2:$E$1094=$AD6,IF(ISNUMBER($Z$2:$Z$1094)=TRUE,LN(100*10^($Z$2:$Z$1094*1.66956+1.732077))))))</f>
        <v>7.8839186661157088</v>
      </c>
      <c r="AU6" s="17">
        <v>7.5061417456184101</v>
      </c>
      <c r="AV6" s="17">
        <v>8.2639661712865191</v>
      </c>
      <c r="AW6" s="12">
        <f t="array" ref="AW6">AVERAGE(IF($D$2:$D$1094=$AC6,IF($E$2:$E$1094=$AD6,IF(ISNUMBER($AA$2:$AA$1094)=TRUE,10^($AA$2:$AA$1094*2.04+1.96)))))</f>
        <v>44.137087721260436</v>
      </c>
      <c r="AX6" s="13">
        <f t="array" ref="AX6">AVERAGE(IF($D$2:$D$1094=$AC6,IF($E$2:$E$1094=$AD6,IF(ISNUMBER($AA$2:$AA$1094)=TRUE,LN(100*10^($AA$2:$AA$1094*2.04+1.96))))))</f>
        <v>8.3029598563808822</v>
      </c>
      <c r="AY6" s="13">
        <v>7.7865119816997401</v>
      </c>
      <c r="AZ6" s="18">
        <v>8.8301944265015795</v>
      </c>
      <c r="BA6" s="12">
        <f t="array" ref="BA6">AVERAGE(IF($D$2:$D$1094=$AC6,IF($E$2:$E$1094=$AD6,IF(ISNUMBER($Z$2:$Z$1094)=TRUE,10^($Z$2:$Z$1094*2.04+1.96)))))</f>
        <v>39.367226382175438</v>
      </c>
      <c r="BB6" s="13">
        <f t="array" ref="BB6">AVERAGE(IF($D$2:$D$1094=$AC6,IF($E$2:$E$1094=$AD6,IF(ISNUMBER($Z$2:$Z$1094)=TRUE,LN(100*10^($Z$2:$Z$1094*2.04+1.96))))))</f>
        <v>8.2513063709852403</v>
      </c>
      <c r="BC6" s="13">
        <v>7.7929471279712796</v>
      </c>
      <c r="BD6" s="13">
        <v>8.72277016340513</v>
      </c>
      <c r="BE6" s="8"/>
      <c r="BF6" s="17">
        <f t="shared" si="13"/>
        <v>-4.2273820135855011E-2</v>
      </c>
      <c r="BG6" s="13">
        <f t="shared" si="14"/>
        <v>-5.1653485395641852E-2</v>
      </c>
    </row>
    <row r="7" spans="1:59" x14ac:dyDescent="0.25">
      <c r="A7" s="6" t="str">
        <f t="shared" si="0"/>
        <v>complete</v>
      </c>
      <c r="B7" s="6" t="s">
        <v>3</v>
      </c>
      <c r="C7" s="6" t="str">
        <f t="shared" si="1"/>
        <v>FU16 441</v>
      </c>
      <c r="D7" s="6" t="s">
        <v>2</v>
      </c>
      <c r="E7" s="20">
        <v>441</v>
      </c>
      <c r="F7" s="6" t="s">
        <v>1</v>
      </c>
      <c r="G7" s="6" t="s">
        <v>10</v>
      </c>
      <c r="H7" s="6" t="s">
        <v>977</v>
      </c>
      <c r="I7" s="6" t="s">
        <v>5</v>
      </c>
      <c r="J7" s="29">
        <f>58.391*2</f>
        <v>116.782</v>
      </c>
      <c r="K7" s="8">
        <f t="shared" si="2"/>
        <v>2.0673759086745256</v>
      </c>
      <c r="L7" s="8">
        <f t="shared" si="3"/>
        <v>9.3654791349170736</v>
      </c>
      <c r="M7" s="8"/>
      <c r="N7" s="8"/>
      <c r="O7" s="8">
        <v>18.021999999999998</v>
      </c>
      <c r="P7" s="8">
        <f>2.258+5.139+4.224+1.725</f>
        <v>13.346</v>
      </c>
      <c r="Q7" s="8">
        <v>1.095</v>
      </c>
      <c r="R7" s="8">
        <f>0.706+0.634</f>
        <v>1.3399999999999999</v>
      </c>
      <c r="S7" s="8">
        <v>16.108000000000001</v>
      </c>
      <c r="T7" s="8">
        <f>2.463+0.453+5.027+0.136+1.569</f>
        <v>9.6479999999999997</v>
      </c>
      <c r="U7" s="8"/>
      <c r="V7" s="8">
        <f>P7/O7</f>
        <v>0.74053934080568207</v>
      </c>
      <c r="W7" s="8">
        <f>R7/Q7</f>
        <v>1.2237442922374429</v>
      </c>
      <c r="X7" s="8">
        <f>T7/S7</f>
        <v>0.59895703998013405</v>
      </c>
      <c r="Y7" s="31">
        <f t="shared" si="4"/>
        <v>6.8331868957287781E-2</v>
      </c>
      <c r="Z7" s="31" t="str">
        <f t="shared" si="5"/>
        <v/>
      </c>
      <c r="AA7" s="31">
        <f t="shared" si="6"/>
        <v>6.8331868957287781E-2</v>
      </c>
      <c r="AB7" s="36"/>
      <c r="AC7" s="2" t="s">
        <v>181</v>
      </c>
      <c r="AD7" s="2">
        <v>1781</v>
      </c>
      <c r="AE7" s="2" t="str">
        <f t="shared" si="7"/>
        <v>HC105 1781</v>
      </c>
      <c r="AF7" s="2" t="s">
        <v>5</v>
      </c>
      <c r="AG7" s="2" t="s">
        <v>977</v>
      </c>
      <c r="AH7" s="2">
        <f t="shared" si="8"/>
        <v>6</v>
      </c>
      <c r="AI7" s="2">
        <f t="shared" si="9"/>
        <v>3</v>
      </c>
      <c r="AJ7" s="2">
        <f t="shared" si="10"/>
        <v>3</v>
      </c>
      <c r="AK7" s="14">
        <f t="shared" si="11"/>
        <v>24.297796666666667</v>
      </c>
      <c r="AL7" s="15">
        <f t="shared" si="12"/>
        <v>7.7831184824635224</v>
      </c>
      <c r="AM7" s="15">
        <f t="array" ref="AM7">STDEV(IF(C$2:C$1094=AE7,IF(L$2:L$1094&gt;0,L$2:L$1094)))/SQRT(AI7)</f>
        <v>0.10976831523497128</v>
      </c>
      <c r="AN7" s="15">
        <f t="shared" si="15"/>
        <v>0.11228958558773351</v>
      </c>
      <c r="AO7" s="16">
        <f t="array" ref="AO7">AVERAGE(IF($D$2:$D$1094=$AC7,IF($E$2:$E$1094=$AD7,IF(ISNUMBER($AA$2:$AA$1094)=TRUE,10^($AA$2:$AA$1094*1.66956+1.732077)))))</f>
        <v>41.640361508817911</v>
      </c>
      <c r="AP7" s="17">
        <f t="array" ref="AP7">AVERAGE(IF($D$2:$D$1094=$AC7,IF($E$2:$E$1094=$AD7,IF(ISNUMBER($AA$2:$AA$1094)=TRUE,LN(100*10^($AA$2:$AA$1094*1.66956+1.732077))))))</f>
        <v>8.2037815245817836</v>
      </c>
      <c r="AQ7" s="17">
        <v>7.6959694014578099</v>
      </c>
      <c r="AR7" s="19">
        <v>8.7119808388000308</v>
      </c>
      <c r="AS7" s="16">
        <f t="array" ref="AS7">AVERAGE(IF($D$2:$D$1094=$AC7,IF($E$2:$E$1094=$AD7,IF(ISNUMBER($Z$2:$Z$1094)=TRUE,10^($Z$2:$Z$1094*1.66956+1.732077)))))</f>
        <v>43.314734470204257</v>
      </c>
      <c r="AT7" s="17">
        <f t="array" ref="AT7">AVERAGE(IF($D$2:$D$1094=$AC7,IF($E$2:$E$1094=$AD7,IF(ISNUMBER($Z$2:$Z$1094)=TRUE,LN(100*10^($Z$2:$Z$1094*1.66956+1.732077))))))</f>
        <v>8.2461841828767977</v>
      </c>
      <c r="AU7" s="17">
        <v>7.7160847706604896</v>
      </c>
      <c r="AV7" s="17">
        <v>8.7715656863470794</v>
      </c>
      <c r="AW7" s="12">
        <f t="array" ref="AW7">AVERAGE(IF($D$2:$D$1094=$AC7,IF($E$2:$E$1094=$AD7,IF(ISNUMBER($AA$2:$AA$1094)=TRUE,10^($AA$2:$AA$1094*2.04+1.96)))))</f>
        <v>68.83482881388953</v>
      </c>
      <c r="AX7" s="13">
        <f t="array" ref="AX7">AVERAGE(IF($D$2:$D$1094=$AC7,IF($E$2:$E$1094=$AD7,IF(ISNUMBER($AA$2:$AA$1094)=TRUE,LN(100*10^($AA$2:$AA$1094*2.04+1.96))))))</f>
        <v>8.6421400225286362</v>
      </c>
      <c r="AY7" s="13">
        <v>8.0296384508199505</v>
      </c>
      <c r="AZ7" s="18">
        <v>9.2690937401412103</v>
      </c>
      <c r="BA7" s="12">
        <f t="array" ref="BA7">AVERAGE(IF($D$2:$D$1094=$AC7,IF($E$2:$E$1094=$AD7,IF(ISNUMBER($Z$2:$Z$1094)=TRUE,10^($Z$2:$Z$1094*2.04+1.96)))))</f>
        <v>71.667000560016064</v>
      </c>
      <c r="BB7" s="13">
        <f t="array" ref="BB7">AVERAGE(IF($D$2:$D$1094=$AC7,IF($E$2:$E$1094=$AD7,IF(ISNUMBER($Z$2:$Z$1094)=TRUE,LN(100*10^($Z$2:$Z$1094*2.04+1.96))))))</f>
        <v>8.6939509325419522</v>
      </c>
      <c r="BC7" s="13">
        <v>8.0486658433099993</v>
      </c>
      <c r="BD7" s="13">
        <v>9.3524262961838591</v>
      </c>
      <c r="BE7" s="8"/>
      <c r="BF7" s="17">
        <f t="shared" si="13"/>
        <v>4.2402658295014106E-2</v>
      </c>
      <c r="BG7" s="13">
        <f t="shared" si="14"/>
        <v>5.1810910013315947E-2</v>
      </c>
    </row>
    <row r="8" spans="1:59" x14ac:dyDescent="0.25">
      <c r="A8" s="6" t="str">
        <f t="shared" si="0"/>
        <v>fragment</v>
      </c>
      <c r="B8" s="6" t="s">
        <v>3</v>
      </c>
      <c r="C8" s="6" t="str">
        <f t="shared" si="1"/>
        <v>FU16 441</v>
      </c>
      <c r="D8" s="6" t="s">
        <v>2</v>
      </c>
      <c r="E8" s="20">
        <v>441</v>
      </c>
      <c r="F8" s="6" t="s">
        <v>1</v>
      </c>
      <c r="G8" s="6" t="s">
        <v>11</v>
      </c>
      <c r="H8" s="6" t="s">
        <v>977</v>
      </c>
      <c r="I8" s="6" t="s">
        <v>5</v>
      </c>
      <c r="J8" s="29"/>
      <c r="K8" s="8" t="str">
        <f t="shared" si="2"/>
        <v/>
      </c>
      <c r="L8" s="8" t="str">
        <f t="shared" si="3"/>
        <v/>
      </c>
      <c r="M8" s="8"/>
      <c r="N8" s="8"/>
      <c r="O8" s="8">
        <v>2.52</v>
      </c>
      <c r="P8" s="8">
        <f>0.814+1.969+0.739</f>
        <v>3.5219999999999998</v>
      </c>
      <c r="Q8" s="8"/>
      <c r="R8" s="8"/>
      <c r="S8" s="8">
        <v>3.262</v>
      </c>
      <c r="T8" s="8">
        <f>1.921+2.095+0.656</f>
        <v>4.6719999999999997</v>
      </c>
      <c r="U8" s="8"/>
      <c r="V8" s="8">
        <f>P8/O8</f>
        <v>1.3976190476190475</v>
      </c>
      <c r="W8" s="8"/>
      <c r="X8" s="8">
        <f>T8/S8</f>
        <v>1.4322501532801961</v>
      </c>
      <c r="Y8" s="31">
        <f t="shared" si="4"/>
        <v>-0.1507363668424741</v>
      </c>
      <c r="Z8" s="31">
        <f t="shared" si="5"/>
        <v>-0.1507363668424741</v>
      </c>
      <c r="AA8" s="31" t="str">
        <f t="shared" si="6"/>
        <v/>
      </c>
      <c r="AB8" s="36"/>
      <c r="AC8" s="2" t="s">
        <v>181</v>
      </c>
      <c r="AD8" s="2">
        <v>428</v>
      </c>
      <c r="AE8" s="2" t="str">
        <f t="shared" si="7"/>
        <v>HC105 428</v>
      </c>
      <c r="AF8" s="2" t="s">
        <v>5</v>
      </c>
      <c r="AG8" s="2" t="s">
        <v>979</v>
      </c>
      <c r="AH8" s="2">
        <f t="shared" si="8"/>
        <v>42</v>
      </c>
      <c r="AI8" s="2">
        <f t="shared" si="9"/>
        <v>30</v>
      </c>
      <c r="AJ8" s="2">
        <f t="shared" si="10"/>
        <v>12</v>
      </c>
      <c r="AK8" s="14">
        <f t="shared" si="11"/>
        <v>34.222114333333337</v>
      </c>
      <c r="AL8" s="15">
        <f t="shared" si="12"/>
        <v>8.0267917165834302</v>
      </c>
      <c r="AM8" s="15">
        <f t="array" ref="AM8">STDEV(IF(C$2:C$1094=AE8,IF(L$2:L$1094&gt;0,L$2:L$1094)))/SQRT(AI8)</f>
        <v>9.0401354241353551E-2</v>
      </c>
      <c r="AN8" s="15">
        <f t="shared" si="15"/>
        <v>9.3446631028687138E-2</v>
      </c>
      <c r="AO8" s="16">
        <f t="array" ref="AO8">AVERAGE(IF($D$2:$D$1094=$AC8,IF($E$2:$E$1094=$AD8,IF(ISNUMBER($AA$2:$AA$1094)=TRUE,10^($AA$2:$AA$1094*1.66956+1.732077)))))</f>
        <v>32.410889090593528</v>
      </c>
      <c r="AP8" s="17">
        <f t="array" ref="AP8">AVERAGE(IF($D$2:$D$1094=$AC8,IF($E$2:$E$1094=$AD8,IF(ISNUMBER($AA$2:$AA$1094)=TRUE,LN(100*10^($AA$2:$AA$1094*1.66956+1.732077))))))</f>
        <v>8.0318435374908788</v>
      </c>
      <c r="AQ8" s="17">
        <v>7.6592985564975704</v>
      </c>
      <c r="AR8" s="19">
        <v>8.4063943897622693</v>
      </c>
      <c r="AS8" s="16">
        <f t="array" ref="AS8">AVERAGE(IF($D$2:$D$1094=$AC8,IF($E$2:$E$1094=$AD8,IF(ISNUMBER($Z$2:$Z$1094)=TRUE,10^($Z$2:$Z$1094*1.66956+1.732077)))))</f>
        <v>29.047279697293046</v>
      </c>
      <c r="AT8" s="17">
        <f t="array" ref="AT8">AVERAGE(IF($D$2:$D$1094=$AC8,IF($E$2:$E$1094=$AD8,IF(ISNUMBER($Z$2:$Z$1094)=TRUE,LN(100*10^($Z$2:$Z$1094*1.66956+1.732077))))))</f>
        <v>7.9489900330984931</v>
      </c>
      <c r="AU8" s="17">
        <v>7.5745239965335696</v>
      </c>
      <c r="AV8" s="17">
        <v>8.3197291937144602</v>
      </c>
      <c r="AW8" s="12">
        <f t="array" ref="AW8">AVERAGE(IF($D$2:$D$1094=$AC8,IF($E$2:$E$1094=$AD8,IF(ISNUMBER($AA$2:$AA$1094)=TRUE,10^($AA$2:$AA$1094*2.04+1.96)))))</f>
        <v>49.606799069446815</v>
      </c>
      <c r="AX8" s="13">
        <f t="array" ref="AX8">AVERAGE(IF($D$2:$D$1094=$AC8,IF($E$2:$E$1094=$AD8,IF(ISNUMBER($AA$2:$AA$1094)=TRUE,LN(100*10^($AA$2:$AA$1094*2.04+1.96))))))</f>
        <v>8.4320526380288623</v>
      </c>
      <c r="AY8" s="13">
        <v>7.9851254719431504</v>
      </c>
      <c r="AZ8" s="18">
        <v>8.8982362818565992</v>
      </c>
      <c r="BA8" s="12">
        <f t="array" ref="BA8">AVERAGE(IF($D$2:$D$1094=$AC8,IF($E$2:$E$1094=$AD8,IF(ISNUMBER($Z$2:$Z$1094)=TRUE,10^($Z$2:$Z$1094*2.04+1.96)))))</f>
        <v>43.081396187807989</v>
      </c>
      <c r="BB8" s="13">
        <f t="array" ref="BB8">AVERAGE(IF($D$2:$D$1094=$AC8,IF($E$2:$E$1094=$AD8,IF(ISNUMBER($Z$2:$Z$1094)=TRUE,LN(100*10^($Z$2:$Z$1094*2.04+1.96))))))</f>
        <v>8.3308156959839721</v>
      </c>
      <c r="BC8" s="13">
        <v>7.8797521188943902</v>
      </c>
      <c r="BD8" s="13">
        <v>8.8001951900225208</v>
      </c>
      <c r="BE8" s="8"/>
      <c r="BF8" s="17">
        <f t="shared" si="13"/>
        <v>-8.2853504392385702E-2</v>
      </c>
      <c r="BG8" s="13">
        <f t="shared" si="14"/>
        <v>-0.1012369420448902</v>
      </c>
    </row>
    <row r="9" spans="1:59" x14ac:dyDescent="0.25">
      <c r="A9" s="6" t="str">
        <f t="shared" si="0"/>
        <v>fragment</v>
      </c>
      <c r="B9" s="6" t="s">
        <v>3</v>
      </c>
      <c r="C9" s="6" t="str">
        <f t="shared" si="1"/>
        <v>FU16 441</v>
      </c>
      <c r="D9" s="6" t="s">
        <v>2</v>
      </c>
      <c r="E9" s="20">
        <v>441</v>
      </c>
      <c r="F9" s="6" t="s">
        <v>1</v>
      </c>
      <c r="G9" s="6" t="s">
        <v>12</v>
      </c>
      <c r="H9" s="6" t="s">
        <v>977</v>
      </c>
      <c r="I9" s="6" t="s">
        <v>5</v>
      </c>
      <c r="J9" s="29"/>
      <c r="K9" s="8" t="str">
        <f t="shared" si="2"/>
        <v/>
      </c>
      <c r="L9" s="8" t="str">
        <f t="shared" si="3"/>
        <v/>
      </c>
      <c r="M9" s="8">
        <v>2.266</v>
      </c>
      <c r="N9" s="8">
        <f>1.236+0.787</f>
        <v>2.0230000000000001</v>
      </c>
      <c r="O9" s="8"/>
      <c r="P9" s="8"/>
      <c r="Q9" s="8"/>
      <c r="R9" s="8"/>
      <c r="S9" s="8">
        <v>7.4189999999999996</v>
      </c>
      <c r="T9" s="8">
        <f>1.976+2.814+1.426</f>
        <v>6.2160000000000002</v>
      </c>
      <c r="U9" s="8">
        <f>N9/M9</f>
        <v>0.89276257722859664</v>
      </c>
      <c r="V9" s="8"/>
      <c r="W9" s="8"/>
      <c r="X9" s="8">
        <f>T9/S9</f>
        <v>0.83784876668014563</v>
      </c>
      <c r="Y9" s="31">
        <f t="shared" si="4"/>
        <v>6.2830449537698549E-2</v>
      </c>
      <c r="Z9" s="31">
        <f t="shared" si="5"/>
        <v>6.2830449537698549E-2</v>
      </c>
      <c r="AA9" s="31" t="str">
        <f t="shared" si="6"/>
        <v/>
      </c>
      <c r="AB9" s="36"/>
      <c r="AC9" s="2" t="s">
        <v>181</v>
      </c>
      <c r="AD9" s="2">
        <v>517</v>
      </c>
      <c r="AE9" s="2" t="str">
        <f t="shared" si="7"/>
        <v>HC105 517</v>
      </c>
      <c r="AF9" s="2" t="s">
        <v>5</v>
      </c>
      <c r="AG9" s="2" t="s">
        <v>977</v>
      </c>
      <c r="AH9" s="2">
        <f t="shared" si="8"/>
        <v>7</v>
      </c>
      <c r="AI9" s="2">
        <f t="shared" si="9"/>
        <v>3</v>
      </c>
      <c r="AJ9" s="2">
        <f t="shared" si="10"/>
        <v>4</v>
      </c>
      <c r="AK9" s="14">
        <f t="shared" si="11"/>
        <v>30.903000000000002</v>
      </c>
      <c r="AL9" s="15">
        <f t="shared" si="12"/>
        <v>8.0215698575099736</v>
      </c>
      <c r="AM9" s="15">
        <f t="array" ref="AM9">STDEV(IF(C$2:C$1094=AE9,IF(L$2:L$1094&gt;0,L$2:L$1094)))/SQRT(AI9)</f>
        <v>0.12043682535686387</v>
      </c>
      <c r="AN9" s="15">
        <f t="shared" si="15"/>
        <v>0.12273914169481807</v>
      </c>
      <c r="AO9" s="16">
        <f t="array" ref="AO9">AVERAGE(IF($D$2:$D$1094=$AC9,IF($E$2:$E$1094=$AD9,IF(ISNUMBER($AA$2:$AA$1094)=TRUE,10^($AA$2:$AA$1094*1.66956+1.732077)))))</f>
        <v>30.086485486258805</v>
      </c>
      <c r="AP9" s="17">
        <f t="array" ref="AP9">AVERAGE(IF($D$2:$D$1094=$AC9,IF($E$2:$E$1094=$AD9,IF(ISNUMBER($AA$2:$AA$1094)=TRUE,LN(100*10^($AA$2:$AA$1094*1.66956+1.732077))))))</f>
        <v>7.9942299284644944</v>
      </c>
      <c r="AQ9" s="17">
        <v>7.6099267277151803</v>
      </c>
      <c r="AR9" s="19">
        <v>8.3840705231908608</v>
      </c>
      <c r="AS9" s="16">
        <f t="array" ref="AS9">AVERAGE(IF($D$2:$D$1094=$AC9,IF($E$2:$E$1094=$AD9,IF(ISNUMBER($Z$2:$Z$1094)=TRUE,10^($Z$2:$Z$1094*1.66956+1.732077)))))</f>
        <v>44.530524498757913</v>
      </c>
      <c r="AT9" s="17">
        <f t="array" ref="AT9">AVERAGE(IF($D$2:$D$1094=$AC9,IF($E$2:$E$1094=$AD9,IF(ISNUMBER($Z$2:$Z$1094)=TRUE,LN(100*10^($Z$2:$Z$1094*1.66956+1.732077))))))</f>
        <v>8.3577396430988991</v>
      </c>
      <c r="AU9" s="17">
        <v>7.9527067114711096</v>
      </c>
      <c r="AV9" s="17">
        <v>8.7634663701212396</v>
      </c>
      <c r="AW9" s="12">
        <f t="array" ref="AW9">AVERAGE(IF($D$2:$D$1094=$AC9,IF($E$2:$E$1094=$AD9,IF(ISNUMBER($AA$2:$AA$1094)=TRUE,10^($AA$2:$AA$1094*2.04+1.96)))))</f>
        <v>44.843468097405371</v>
      </c>
      <c r="AX9" s="13">
        <f t="array" ref="AX9">AVERAGE(IF($D$2:$D$1094=$AC9,IF($E$2:$E$1094=$AD9,IF(ISNUMBER($AA$2:$AA$1094)=TRUE,LN(100*10^($AA$2:$AA$1094*2.04+1.96))))))</f>
        <v>8.3860933658770218</v>
      </c>
      <c r="AY9" s="13">
        <v>7.9189223227233203</v>
      </c>
      <c r="AZ9" s="18">
        <v>8.8750224091358803</v>
      </c>
      <c r="BA9" s="12">
        <f t="array" ref="BA9">AVERAGE(IF($D$2:$D$1094=$AC9,IF($E$2:$E$1094=$AD9,IF(ISNUMBER($Z$2:$Z$1094)=TRUE,10^($Z$2:$Z$1094*2.04+1.96)))))</f>
        <v>72.984396181422909</v>
      </c>
      <c r="BB9" s="13">
        <f t="array" ref="BB9">AVERAGE(IF($D$2:$D$1094=$AC9,IF($E$2:$E$1094=$AD9,IF(ISNUMBER($Z$2:$Z$1094)=TRUE,LN(100*10^($Z$2:$Z$1094*2.04+1.96))))))</f>
        <v>8.8302581864610019</v>
      </c>
      <c r="BC9" s="13">
        <v>8.33929148237352</v>
      </c>
      <c r="BD9" s="13">
        <v>9.3362542650733307</v>
      </c>
      <c r="BE9" s="8"/>
      <c r="BF9" s="17">
        <f t="shared" si="13"/>
        <v>0.36350971463440462</v>
      </c>
      <c r="BG9" s="13">
        <f t="shared" si="14"/>
        <v>0.4441648205839801</v>
      </c>
    </row>
    <row r="10" spans="1:59" x14ac:dyDescent="0.25">
      <c r="A10" s="6" t="str">
        <f t="shared" si="0"/>
        <v>fragment</v>
      </c>
      <c r="B10" s="6" t="s">
        <v>3</v>
      </c>
      <c r="C10" s="6" t="str">
        <f t="shared" si="1"/>
        <v>FU16 441</v>
      </c>
      <c r="D10" s="6" t="s">
        <v>2</v>
      </c>
      <c r="E10" s="20">
        <v>441</v>
      </c>
      <c r="F10" s="6" t="s">
        <v>1</v>
      </c>
      <c r="G10" s="6" t="s">
        <v>14</v>
      </c>
      <c r="H10" s="6" t="s">
        <v>977</v>
      </c>
      <c r="I10" s="6" t="s">
        <v>5</v>
      </c>
      <c r="J10" s="29"/>
      <c r="K10" s="8" t="str">
        <f t="shared" si="2"/>
        <v/>
      </c>
      <c r="L10" s="8" t="str">
        <f t="shared" si="3"/>
        <v/>
      </c>
      <c r="M10" s="8">
        <v>1.82</v>
      </c>
      <c r="N10" s="8">
        <f>0.732+0.925+0.486</f>
        <v>2.1429999999999998</v>
      </c>
      <c r="O10" s="8">
        <v>2.399</v>
      </c>
      <c r="P10" s="8">
        <f>0.492+1.54+0.662+0.407</f>
        <v>3.101</v>
      </c>
      <c r="Q10" s="8"/>
      <c r="R10" s="8"/>
      <c r="S10" s="8"/>
      <c r="T10" s="8"/>
      <c r="U10" s="8">
        <f>N10/M10</f>
        <v>1.1774725274725273</v>
      </c>
      <c r="V10" s="8">
        <f t="shared" ref="V10:V23" si="16">P10/O10</f>
        <v>1.2926219258024176</v>
      </c>
      <c r="W10" s="8"/>
      <c r="X10" s="8"/>
      <c r="Y10" s="31">
        <f t="shared" si="4"/>
        <v>-9.1683564782652036E-2</v>
      </c>
      <c r="Z10" s="31">
        <f t="shared" si="5"/>
        <v>-9.1683564782652036E-2</v>
      </c>
      <c r="AA10" s="31" t="str">
        <f t="shared" si="6"/>
        <v/>
      </c>
      <c r="AB10" s="36"/>
      <c r="AC10" s="2" t="s">
        <v>181</v>
      </c>
      <c r="AD10" s="2">
        <v>87110</v>
      </c>
      <c r="AE10" s="2" t="str">
        <f t="shared" si="7"/>
        <v>HC105 87110</v>
      </c>
      <c r="AF10" s="2" t="s">
        <v>5</v>
      </c>
      <c r="AG10" s="2" t="s">
        <v>978</v>
      </c>
      <c r="AH10" s="2">
        <f t="shared" si="8"/>
        <v>10</v>
      </c>
      <c r="AI10" s="2">
        <f t="shared" si="9"/>
        <v>6</v>
      </c>
      <c r="AJ10" s="2">
        <f t="shared" si="10"/>
        <v>4</v>
      </c>
      <c r="AK10" s="14">
        <f t="shared" si="11"/>
        <v>32.211221666666667</v>
      </c>
      <c r="AL10" s="15">
        <f t="shared" si="12"/>
        <v>8.0277235054872538</v>
      </c>
      <c r="AM10" s="15">
        <f t="array" ref="AM10">STDEV(IF(C$2:C$1094=AE10,IF(L$2:L$1094&gt;0,L$2:L$1094)))/SQRT(AI10)</f>
        <v>0.14493761085795587</v>
      </c>
      <c r="AN10" s="15">
        <f t="shared" si="15"/>
        <v>0.1468563210868131</v>
      </c>
      <c r="AO10" s="16">
        <f t="array" ref="AO10">AVERAGE(IF($D$2:$D$1094=$AC10,IF($E$2:$E$1094=$AD10,IF(ISNUMBER($AA$2:$AA$1094)=TRUE,10^($AA$2:$AA$1094*1.66956+1.732077)))))</f>
        <v>31.781681628682076</v>
      </c>
      <c r="AP10" s="17">
        <f t="array" ref="AP10">AVERAGE(IF($D$2:$D$1094=$AC10,IF($E$2:$E$1094=$AD10,IF(ISNUMBER($AA$2:$AA$1094)=TRUE,LN(100*10^($AA$2:$AA$1094*1.66956+1.732077))))))</f>
        <v>8.0413611586202904</v>
      </c>
      <c r="AQ10" s="17">
        <v>7.6593713277516002</v>
      </c>
      <c r="AR10" s="19">
        <v>8.42308183692721</v>
      </c>
      <c r="AS10" s="16">
        <f t="array" ref="AS10">AVERAGE(IF($D$2:$D$1094=$AC10,IF($E$2:$E$1094=$AD10,IF(ISNUMBER($Z$2:$Z$1094)=TRUE,10^($Z$2:$Z$1094*1.66956+1.732077)))))</f>
        <v>25.870498890322349</v>
      </c>
      <c r="AT10" s="17">
        <f t="array" ref="AT10">AVERAGE(IF($D$2:$D$1094=$AC10,IF($E$2:$E$1094=$AD10,IF(ISNUMBER($Z$2:$Z$1094)=TRUE,LN(100*10^($Z$2:$Z$1094*1.66956+1.732077))))))</f>
        <v>7.8156525031602069</v>
      </c>
      <c r="AU10" s="17">
        <v>7.40709769843955</v>
      </c>
      <c r="AV10" s="17">
        <v>8.2244640635575692</v>
      </c>
      <c r="AW10" s="12">
        <f t="array" ref="AW10">AVERAGE(IF($D$2:$D$1094=$AC10,IF($E$2:$E$1094=$AD10,IF(ISNUMBER($AA$2:$AA$1094)=TRUE,10^($AA$2:$AA$1094*2.04+1.96)))))</f>
        <v>48.051663054793032</v>
      </c>
      <c r="AX10" s="13">
        <f t="array" ref="AX10">AVERAGE(IF($D$2:$D$1094=$AC10,IF($E$2:$E$1094=$AD10,IF(ISNUMBER($AA$2:$AA$1094)=TRUE,LN(100*10^($AA$2:$AA$1094*2.04+1.96))))))</f>
        <v>8.4436820176881735</v>
      </c>
      <c r="AY10" s="13">
        <v>7.9839159710037997</v>
      </c>
      <c r="AZ10" s="18">
        <v>8.9178315918231892</v>
      </c>
      <c r="BA10" s="12">
        <f t="array" ref="BA10">AVERAGE(IF($D$2:$D$1094=$AC10,IF($E$2:$E$1094=$AD10,IF(ISNUMBER($Z$2:$Z$1094)=TRUE,10^($Z$2:$Z$1094*2.04+1.96)))))</f>
        <v>37.534895602559892</v>
      </c>
      <c r="BB10" s="13">
        <f t="array" ref="BB10">AVERAGE(IF($D$2:$D$1094=$AC10,IF($E$2:$E$1094=$AD10,IF(ISNUMBER($Z$2:$Z$1094)=TRUE,LN(100*10^($Z$2:$Z$1094*2.04+1.96))))))</f>
        <v>8.1678933924584314</v>
      </c>
      <c r="BC10" s="13">
        <v>7.6740175358101199</v>
      </c>
      <c r="BD10" s="13">
        <v>8.6785703194394408</v>
      </c>
      <c r="BE10" s="8"/>
      <c r="BF10" s="17">
        <f t="shared" si="13"/>
        <v>-0.22570865546008356</v>
      </c>
      <c r="BG10" s="13">
        <f t="shared" si="14"/>
        <v>-0.27578862522974212</v>
      </c>
    </row>
    <row r="11" spans="1:59" x14ac:dyDescent="0.25">
      <c r="A11" s="6" t="str">
        <f t="shared" si="0"/>
        <v>fragment</v>
      </c>
      <c r="B11" s="6" t="s">
        <v>3</v>
      </c>
      <c r="C11" s="6" t="str">
        <f t="shared" si="1"/>
        <v>FU16 441</v>
      </c>
      <c r="D11" s="6" t="s">
        <v>2</v>
      </c>
      <c r="E11" s="20">
        <v>441</v>
      </c>
      <c r="F11" s="6" t="s">
        <v>1</v>
      </c>
      <c r="G11" s="6" t="s">
        <v>15</v>
      </c>
      <c r="H11" s="6" t="s">
        <v>977</v>
      </c>
      <c r="I11" s="6" t="s">
        <v>5</v>
      </c>
      <c r="J11" s="29"/>
      <c r="K11" s="8" t="str">
        <f t="shared" si="2"/>
        <v/>
      </c>
      <c r="L11" s="8" t="str">
        <f t="shared" si="3"/>
        <v/>
      </c>
      <c r="M11" s="8"/>
      <c r="N11" s="8"/>
      <c r="O11" s="8">
        <v>3.1970000000000001</v>
      </c>
      <c r="P11" s="8">
        <f>1.376+0.212+1.618+0.849</f>
        <v>4.0549999999999997</v>
      </c>
      <c r="Q11" s="8"/>
      <c r="R11" s="8"/>
      <c r="S11" s="8"/>
      <c r="T11" s="8"/>
      <c r="U11" s="8"/>
      <c r="V11" s="8">
        <f t="shared" si="16"/>
        <v>1.2683766030653736</v>
      </c>
      <c r="W11" s="8"/>
      <c r="X11" s="8"/>
      <c r="Y11" s="31">
        <f t="shared" si="4"/>
        <v>-0.10324822227548679</v>
      </c>
      <c r="Z11" s="31">
        <f t="shared" si="5"/>
        <v>-0.10324822227548679</v>
      </c>
      <c r="AA11" s="31" t="str">
        <f t="shared" si="6"/>
        <v/>
      </c>
      <c r="AB11" s="36"/>
      <c r="AC11" s="2" t="s">
        <v>181</v>
      </c>
      <c r="AD11" s="2">
        <v>88130</v>
      </c>
      <c r="AE11" s="2" t="str">
        <f t="shared" si="7"/>
        <v>HC105 88130</v>
      </c>
      <c r="AF11" s="2" t="s">
        <v>5</v>
      </c>
      <c r="AG11" s="2" t="s">
        <v>980</v>
      </c>
      <c r="AH11" s="2">
        <f t="shared" si="8"/>
        <v>8</v>
      </c>
      <c r="AI11" s="2">
        <f t="shared" si="9"/>
        <v>4</v>
      </c>
      <c r="AJ11" s="2">
        <f t="shared" si="10"/>
        <v>4</v>
      </c>
      <c r="AK11" s="14">
        <f t="shared" si="11"/>
        <v>23.592852499999999</v>
      </c>
      <c r="AL11" s="15">
        <f t="shared" si="12"/>
        <v>7.7259956451951908</v>
      </c>
      <c r="AM11" s="15">
        <f t="array" ref="AM11">STDEV(IF(C$2:C$1094=AE11,IF(L$2:L$1094&gt;0,L$2:L$1094)))/SQRT(AI11)</f>
        <v>0.17272812673761204</v>
      </c>
      <c r="AN11" s="15">
        <f t="shared" si="15"/>
        <v>0.17434125664404701</v>
      </c>
      <c r="AO11" s="16">
        <f t="array" ref="AO11">AVERAGE(IF($D$2:$D$1094=$AC11,IF($E$2:$E$1094=$AD11,IF(ISNUMBER($AA$2:$AA$1094)=TRUE,10^($AA$2:$AA$1094*1.66956+1.732077)))))</f>
        <v>25.65087912340978</v>
      </c>
      <c r="AP11" s="17">
        <f t="array" ref="AP11">AVERAGE(IF($D$2:$D$1094=$AC11,IF($E$2:$E$1094=$AD11,IF(ISNUMBER($AA$2:$AA$1094)=TRUE,LN(100*10^($AA$2:$AA$1094*1.66956+1.732077))))))</f>
        <v>7.8118938215960982</v>
      </c>
      <c r="AQ11" s="17">
        <v>7.4067712913827899</v>
      </c>
      <c r="AR11" s="19">
        <v>8.2140538085479502</v>
      </c>
      <c r="AS11" s="16">
        <f t="array" ref="AS11">AVERAGE(IF($D$2:$D$1094=$AC11,IF($E$2:$E$1094=$AD11,IF(ISNUMBER($Z$2:$Z$1094)=TRUE,10^($Z$2:$Z$1094*1.66956+1.732077)))))</f>
        <v>39.734005856046267</v>
      </c>
      <c r="AT11" s="17">
        <f t="array" ref="AT11">AVERAGE(IF($D$2:$D$1094=$AC11,IF($E$2:$E$1094=$AD11,IF(ISNUMBER($Z$2:$Z$1094)=TRUE,LN(100*10^($Z$2:$Z$1094*1.66956+1.732077))))))</f>
        <v>8.2462436560978798</v>
      </c>
      <c r="AU11" s="17">
        <v>7.8438152240049597</v>
      </c>
      <c r="AV11" s="17">
        <v>8.6471533827421805</v>
      </c>
      <c r="AW11" s="12">
        <f t="array" ref="AW11">AVERAGE(IF($D$2:$D$1094=$AC11,IF($E$2:$E$1094=$AD11,IF(ISNUMBER($AA$2:$AA$1094)=TRUE,10^($AA$2:$AA$1094*2.04+1.96)))))</f>
        <v>37.102543234722191</v>
      </c>
      <c r="AX11" s="13">
        <f t="array" ref="AX11">AVERAGE(IF($D$2:$D$1094=$AC11,IF($E$2:$E$1094=$AD11,IF(ISNUMBER($AA$2:$AA$1094)=TRUE,LN(100*10^($AA$2:$AA$1094*2.04+1.96))))))</f>
        <v>8.1633007390702428</v>
      </c>
      <c r="AY11" s="13">
        <v>7.6721396802718198</v>
      </c>
      <c r="AZ11" s="18">
        <v>8.6696774204653106</v>
      </c>
      <c r="BA11" s="12">
        <f t="array" ref="BA11">AVERAGE(IF($D$2:$D$1094=$AC11,IF($E$2:$E$1094=$AD11,IF(ISNUMBER($Z$2:$Z$1094)=TRUE,10^($Z$2:$Z$1094*2.04+1.96)))))</f>
        <v>63.425103264815661</v>
      </c>
      <c r="BB11" s="13">
        <f t="array" ref="BB11">AVERAGE(IF($D$2:$D$1094=$AC11,IF($E$2:$E$1094=$AD11,IF(ISNUMBER($Z$2:$Z$1094)=TRUE,LN(100*10^($Z$2:$Z$1094*2.04+1.96))))))</f>
        <v>8.6940236016110539</v>
      </c>
      <c r="BC11" s="13">
        <v>8.2009634411125791</v>
      </c>
      <c r="BD11" s="13">
        <v>9.1971899799254704</v>
      </c>
      <c r="BE11" s="8"/>
      <c r="BF11" s="17">
        <f t="shared" si="13"/>
        <v>0.43434983450178155</v>
      </c>
      <c r="BG11" s="13">
        <f t="shared" si="14"/>
        <v>0.53072286254081114</v>
      </c>
    </row>
    <row r="12" spans="1:59" x14ac:dyDescent="0.25">
      <c r="A12" s="6" t="str">
        <f t="shared" si="0"/>
        <v>complete</v>
      </c>
      <c r="B12" s="6" t="s">
        <v>18</v>
      </c>
      <c r="C12" s="6" t="str">
        <f t="shared" si="1"/>
        <v>FU29 2217</v>
      </c>
      <c r="D12" s="6" t="s">
        <v>17</v>
      </c>
      <c r="E12" s="20">
        <v>2217</v>
      </c>
      <c r="F12" s="6" t="s">
        <v>16</v>
      </c>
      <c r="G12" s="6" t="s">
        <v>19</v>
      </c>
      <c r="H12" s="6" t="s">
        <v>975</v>
      </c>
      <c r="I12" s="6" t="s">
        <v>20</v>
      </c>
      <c r="J12" s="29">
        <v>27.636990000000001</v>
      </c>
      <c r="K12" s="8">
        <f t="shared" si="2"/>
        <v>1.4414907413948428</v>
      </c>
      <c r="L12" s="8">
        <f t="shared" si="3"/>
        <v>7.9243252788127911</v>
      </c>
      <c r="M12" s="8">
        <v>1.32</v>
      </c>
      <c r="N12" s="8">
        <f>0.457+1.172+1.244+0.671</f>
        <v>3.5440000000000005</v>
      </c>
      <c r="O12" s="8">
        <v>3.3969999999999998</v>
      </c>
      <c r="P12" s="8">
        <f>0.81+1.713+2.144+1.748+0.894</f>
        <v>7.3090000000000002</v>
      </c>
      <c r="Q12" s="8"/>
      <c r="R12" s="8"/>
      <c r="S12" s="8">
        <v>7.0629999999999997</v>
      </c>
      <c r="T12" s="8">
        <f>0.474+1.866+3.293+2.477+2.295+1.863+0.659</f>
        <v>12.927</v>
      </c>
      <c r="U12" s="8">
        <f>N12/M12</f>
        <v>2.684848484848485</v>
      </c>
      <c r="V12" s="8">
        <f t="shared" si="16"/>
        <v>2.1516043567853989</v>
      </c>
      <c r="W12" s="8"/>
      <c r="X12" s="8">
        <f>T12/S12</f>
        <v>1.8302421067535042</v>
      </c>
      <c r="Y12" s="31">
        <f t="shared" si="4"/>
        <v>-0.34678932861003559</v>
      </c>
      <c r="Z12" s="31" t="str">
        <f t="shared" si="5"/>
        <v/>
      </c>
      <c r="AA12" s="31">
        <f t="shared" si="6"/>
        <v>-0.34678932861003559</v>
      </c>
      <c r="AB12" s="36"/>
      <c r="AC12" s="2" t="s">
        <v>181</v>
      </c>
      <c r="AD12" s="2">
        <v>900</v>
      </c>
      <c r="AE12" s="2" t="str">
        <f t="shared" si="7"/>
        <v>HC105 900</v>
      </c>
      <c r="AF12" s="2" t="s">
        <v>5</v>
      </c>
      <c r="AG12" s="2" t="s">
        <v>977</v>
      </c>
      <c r="AH12" s="2">
        <f t="shared" si="8"/>
        <v>8</v>
      </c>
      <c r="AI12" s="2">
        <f t="shared" si="9"/>
        <v>5</v>
      </c>
      <c r="AJ12" s="2">
        <f t="shared" si="10"/>
        <v>3</v>
      </c>
      <c r="AK12" s="14">
        <f t="shared" si="11"/>
        <v>24.007628000000004</v>
      </c>
      <c r="AL12" s="15">
        <f t="shared" si="12"/>
        <v>7.6685754682191414</v>
      </c>
      <c r="AM12" s="15">
        <f t="array" ref="AM12">STDEV(IF(C$2:C$1094=AE12,IF(L$2:L$1094&gt;0,L$2:L$1094)))/SQRT(AI12)</f>
        <v>0.26191610434730112</v>
      </c>
      <c r="AN12" s="15">
        <f t="shared" si="15"/>
        <v>0.2629827251330536</v>
      </c>
      <c r="AO12" s="16">
        <f t="array" ref="AO12">AVERAGE(IF($D$2:$D$1094=$AC12,IF($E$2:$E$1094=$AD12,IF(ISNUMBER($AA$2:$AA$1094)=TRUE,10^($AA$2:$AA$1094*1.66956+1.732077)))))</f>
        <v>44.314447410691045</v>
      </c>
      <c r="AP12" s="17">
        <f t="array" ref="AP12">AVERAGE(IF($D$2:$D$1094=$AC12,IF($E$2:$E$1094=$AD12,IF(ISNUMBER($AA$2:$AA$1094)=TRUE,LN(100*10^($AA$2:$AA$1094*1.66956+1.732077))))))</f>
        <v>8.2371784882020389</v>
      </c>
      <c r="AQ12" s="17">
        <v>7.7824163790568699</v>
      </c>
      <c r="AR12" s="19">
        <v>8.6920344076736207</v>
      </c>
      <c r="AS12" s="16">
        <f t="array" ref="AS12">AVERAGE(IF($D$2:$D$1094=$AC12,IF($E$2:$E$1094=$AD12,IF(ISNUMBER($Z$2:$Z$1094)=TRUE,10^($Z$2:$Z$1094*1.66956+1.732077)))))</f>
        <v>25.529518309268685</v>
      </c>
      <c r="AT12" s="17">
        <f t="array" ref="AT12">AVERAGE(IF($D$2:$D$1094=$AC12,IF($E$2:$E$1094=$AD12,IF(ISNUMBER($Z$2:$Z$1094)=TRUE,LN(100*10^($Z$2:$Z$1094*1.66956+1.732077))))))</f>
        <v>7.8431043738507737</v>
      </c>
      <c r="AU12" s="17">
        <v>7.4721284898062201</v>
      </c>
      <c r="AV12" s="17">
        <v>8.2149507604688701</v>
      </c>
      <c r="AW12" s="12">
        <f t="array" ref="AW12">AVERAGE(IF($D$2:$D$1094=$AC12,IF($E$2:$E$1094=$AD12,IF(ISNUMBER($AA$2:$AA$1094)=TRUE,10^($AA$2:$AA$1094*2.04+1.96)))))</f>
        <v>74.918631461920398</v>
      </c>
      <c r="AX12" s="13">
        <f t="array" ref="AX12">AVERAGE(IF($D$2:$D$1094=$AC12,IF($E$2:$E$1094=$AD12,IF(ISNUMBER($AA$2:$AA$1094)=TRUE,LN(100*10^($AA$2:$AA$1094*2.04+1.96))))))</f>
        <v>8.6829470649741438</v>
      </c>
      <c r="AY12" s="13">
        <v>8.1311653320751809</v>
      </c>
      <c r="AZ12" s="18">
        <v>9.2553159917293897</v>
      </c>
      <c r="BA12" s="12">
        <f t="array" ref="BA12">AVERAGE(IF($D$2:$D$1094=$AC12,IF($E$2:$E$1094=$AD12,IF(ISNUMBER($Z$2:$Z$1094)=TRUE,10^($Z$2:$Z$1094*2.04+1.96)))))</f>
        <v>36.565773511886</v>
      </c>
      <c r="BB12" s="13">
        <f t="array" ref="BB12">AVERAGE(IF($D$2:$D$1094=$AC12,IF($E$2:$E$1094=$AD12,IF(ISNUMBER($Z$2:$Z$1094)=TRUE,LN(100*10^($Z$2:$Z$1094*2.04+1.96))))))</f>
        <v>8.2014362517799011</v>
      </c>
      <c r="BC12" s="13">
        <v>7.7495765705040904</v>
      </c>
      <c r="BD12" s="13">
        <v>8.6657839418974891</v>
      </c>
      <c r="BE12" s="8"/>
      <c r="BF12" s="17">
        <f t="shared" si="13"/>
        <v>-0.39407411435126516</v>
      </c>
      <c r="BG12" s="13">
        <f t="shared" si="14"/>
        <v>-0.48151081319424271</v>
      </c>
    </row>
    <row r="13" spans="1:59" x14ac:dyDescent="0.25">
      <c r="A13" s="6" t="str">
        <f t="shared" si="0"/>
        <v>complete</v>
      </c>
      <c r="B13" s="6" t="s">
        <v>18</v>
      </c>
      <c r="C13" s="6" t="str">
        <f t="shared" si="1"/>
        <v>FU29 427</v>
      </c>
      <c r="D13" s="6" t="s">
        <v>17</v>
      </c>
      <c r="E13" s="20">
        <v>427</v>
      </c>
      <c r="G13" s="6" t="s">
        <v>62</v>
      </c>
      <c r="H13" s="6" t="s">
        <v>975</v>
      </c>
      <c r="I13" s="6" t="s">
        <v>20</v>
      </c>
      <c r="J13" s="29">
        <v>63.600999999999999</v>
      </c>
      <c r="K13" s="8">
        <f t="shared" si="2"/>
        <v>1.8034639441243208</v>
      </c>
      <c r="L13" s="8">
        <f t="shared" si="3"/>
        <v>8.7577993794809981</v>
      </c>
      <c r="M13" s="8"/>
      <c r="N13" s="8"/>
      <c r="O13" s="8">
        <v>13.76</v>
      </c>
      <c r="P13" s="8">
        <f>1.97+3.05+1.19+2.684+0.238+2.454+1.357+0.139</f>
        <v>13.081999999999997</v>
      </c>
      <c r="Q13" s="8">
        <v>4.0579999999999998</v>
      </c>
      <c r="R13" s="8">
        <f>1.029+1.436+1.406+1.069</f>
        <v>4.9399999999999995</v>
      </c>
      <c r="S13" s="8"/>
      <c r="T13" s="8"/>
      <c r="U13" s="8"/>
      <c r="V13" s="8">
        <f t="shared" si="16"/>
        <v>0.9507267441860463</v>
      </c>
      <c r="W13" s="8">
        <f>R13/Q13</f>
        <v>1.2173484475110892</v>
      </c>
      <c r="X13" s="8"/>
      <c r="Y13" s="31">
        <f t="shared" si="4"/>
        <v>-3.5044344366980354E-2</v>
      </c>
      <c r="Z13" s="31" t="str">
        <f t="shared" si="5"/>
        <v/>
      </c>
      <c r="AA13" s="31">
        <f t="shared" si="6"/>
        <v>-3.5044344366980354E-2</v>
      </c>
      <c r="AB13" s="36"/>
      <c r="AC13" s="2" t="s">
        <v>252</v>
      </c>
      <c r="AD13" s="2">
        <v>428</v>
      </c>
      <c r="AE13" s="2" t="str">
        <f t="shared" si="7"/>
        <v>HC106 428</v>
      </c>
      <c r="AF13" s="2" t="s">
        <v>5</v>
      </c>
      <c r="AG13" s="2" t="s">
        <v>979</v>
      </c>
      <c r="AH13" s="2">
        <f t="shared" si="8"/>
        <v>21</v>
      </c>
      <c r="AI13" s="2">
        <f t="shared" si="9"/>
        <v>7</v>
      </c>
      <c r="AJ13" s="2">
        <f t="shared" si="10"/>
        <v>14</v>
      </c>
      <c r="AK13" s="14">
        <f t="shared" si="11"/>
        <v>52.276142857142858</v>
      </c>
      <c r="AL13" s="15">
        <f t="shared" si="12"/>
        <v>8.4955656971713598</v>
      </c>
      <c r="AM13" s="15">
        <f t="array" ref="AM13">STDEV(IF(C$2:C$1094=AE13,IF(L$2:L$1094&gt;0,L$2:L$1094)))/SQRT(AI13)</f>
        <v>0.14921682634427633</v>
      </c>
      <c r="AN13" s="15">
        <f t="shared" si="15"/>
        <v>0.15108120090268948</v>
      </c>
      <c r="AO13" s="16">
        <f t="array" ref="AO13">AVERAGE(IF($D$2:$D$1094=$AC13,IF($E$2:$E$1094=$AD13,IF(ISNUMBER($AA$2:$AA$1094)=TRUE,10^($AA$2:$AA$1094*1.66956+1.732077)))))</f>
        <v>48.342184067621375</v>
      </c>
      <c r="AP13" s="17">
        <f t="array" ref="AP13">AVERAGE(IF($D$2:$D$1094=$AC13,IF($E$2:$E$1094=$AD13,IF(ISNUMBER($AA$2:$AA$1094)=TRUE,LN(100*10^($AA$2:$AA$1094*1.66956+1.732077))))))</f>
        <v>8.4071721628853773</v>
      </c>
      <c r="AQ13" s="17">
        <v>8.0066884285356092</v>
      </c>
      <c r="AR13" s="19">
        <v>8.8100191104082608</v>
      </c>
      <c r="AS13" s="16">
        <f t="array" ref="AS13">AVERAGE(IF($D$2:$D$1094=$AC13,IF($E$2:$E$1094=$AD13,IF(ISNUMBER($Z$2:$Z$1094)=TRUE,10^($Z$2:$Z$1094*1.66956+1.732077)))))</f>
        <v>50.12672279903137</v>
      </c>
      <c r="AT13" s="17">
        <f t="array" ref="AT13">AVERAGE(IF($D$2:$D$1094=$AC13,IF($E$2:$E$1094=$AD13,IF(ISNUMBER($Z$2:$Z$1094)=TRUE,LN(100*10^($Z$2:$Z$1094*1.66956+1.732077))))))</f>
        <v>8.4117105049451357</v>
      </c>
      <c r="AU13" s="17">
        <v>8.0202088224214894</v>
      </c>
      <c r="AV13" s="17">
        <v>8.8055672358668797</v>
      </c>
      <c r="AW13" s="12">
        <f t="array" ref="AW13">AVERAGE(IF($D$2:$D$1094=$AC13,IF($E$2:$E$1094=$AD13,IF(ISNUMBER($AA$2:$AA$1094)=TRUE,10^($AA$2:$AA$1094*2.04+1.96)))))</f>
        <v>81.287350015149315</v>
      </c>
      <c r="AX13" s="13">
        <f t="array" ref="AX13">AVERAGE(IF($D$2:$D$1094=$AC13,IF($E$2:$E$1094=$AD13,IF(ISNUMBER($AA$2:$AA$1094)=TRUE,LN(100*10^($AA$2:$AA$1094*2.04+1.96))))))</f>
        <v>8.8906587353268183</v>
      </c>
      <c r="AY13" s="13">
        <v>8.4052562740532704</v>
      </c>
      <c r="AZ13" s="18">
        <v>9.3946871745406106</v>
      </c>
      <c r="BA13" s="12">
        <f t="array" ref="BA13">AVERAGE(IF($D$2:$D$1094=$AC13,IF($E$2:$E$1094=$AD13,IF(ISNUMBER($Z$2:$Z$1094)=TRUE,10^($Z$2:$Z$1094*2.04+1.96)))))</f>
        <v>85.407108738086251</v>
      </c>
      <c r="BB13" s="13">
        <f t="array" ref="BB13">AVERAGE(IF($D$2:$D$1094=$AC13,IF($E$2:$E$1094=$AD13,IF(ISNUMBER($Z$2:$Z$1094)=TRUE,LN(100*10^($Z$2:$Z$1094*2.04+1.96))))))</f>
        <v>8.8962040393601605</v>
      </c>
      <c r="BC13" s="13">
        <v>8.4218109770774596</v>
      </c>
      <c r="BD13" s="13">
        <v>9.3876441347892392</v>
      </c>
      <c r="BE13" s="8"/>
      <c r="BF13" s="17">
        <f t="shared" si="13"/>
        <v>4.538342059758449E-3</v>
      </c>
      <c r="BG13" s="13">
        <f t="shared" si="14"/>
        <v>5.545304033342191E-3</v>
      </c>
    </row>
    <row r="14" spans="1:59" x14ac:dyDescent="0.25">
      <c r="A14" s="6" t="str">
        <f t="shared" si="0"/>
        <v>complete</v>
      </c>
      <c r="B14" s="6" t="s">
        <v>18</v>
      </c>
      <c r="C14" s="6" t="str">
        <f t="shared" si="1"/>
        <v>FU29 427</v>
      </c>
      <c r="D14" s="6" t="s">
        <v>17</v>
      </c>
      <c r="E14" s="20">
        <v>427</v>
      </c>
      <c r="G14" s="6" t="s">
        <v>63</v>
      </c>
      <c r="H14" s="6" t="s">
        <v>975</v>
      </c>
      <c r="I14" s="6" t="s">
        <v>20</v>
      </c>
      <c r="J14" s="29">
        <v>16.532</v>
      </c>
      <c r="K14" s="8">
        <f t="shared" si="2"/>
        <v>1.2183253966096705</v>
      </c>
      <c r="L14" s="8">
        <f t="shared" si="3"/>
        <v>7.4104680826375775</v>
      </c>
      <c r="M14" s="8">
        <v>1.7310000000000001</v>
      </c>
      <c r="N14" s="8">
        <f>0.444 + 1.495 + 1.151 + 0.347</f>
        <v>3.4369999999999998</v>
      </c>
      <c r="O14" s="8">
        <v>3.069</v>
      </c>
      <c r="P14" s="8">
        <f>0.518 + 1.225 + 1.406 + 1.264 + 1.284 + 0.561</f>
        <v>6.258</v>
      </c>
      <c r="Q14" s="8">
        <v>1.2030000000000001</v>
      </c>
      <c r="R14" s="8">
        <f>0.497 + 0.81 + 0.431 + 0.781 + 0.442</f>
        <v>2.9610000000000003</v>
      </c>
      <c r="S14" s="8"/>
      <c r="T14" s="8"/>
      <c r="U14" s="8">
        <f>N14/M14</f>
        <v>1.9855574812247254</v>
      </c>
      <c r="V14" s="8">
        <f t="shared" si="16"/>
        <v>2.0391006842619745</v>
      </c>
      <c r="W14" s="8">
        <f>R14/Q14</f>
        <v>2.4613466334164591</v>
      </c>
      <c r="X14" s="8"/>
      <c r="Y14" s="31">
        <f t="shared" si="4"/>
        <v>-0.3348560109457514</v>
      </c>
      <c r="Z14" s="31" t="str">
        <f t="shared" si="5"/>
        <v/>
      </c>
      <c r="AA14" s="31">
        <f t="shared" si="6"/>
        <v>-0.3348560109457514</v>
      </c>
      <c r="AB14" s="36"/>
      <c r="AC14" s="2" t="s">
        <v>252</v>
      </c>
      <c r="AD14" s="2">
        <v>517</v>
      </c>
      <c r="AE14" s="2" t="str">
        <f t="shared" si="7"/>
        <v>HC106 517</v>
      </c>
      <c r="AF14" s="2" t="s">
        <v>5</v>
      </c>
      <c r="AG14" s="2" t="s">
        <v>977</v>
      </c>
      <c r="AH14" s="2">
        <f t="shared" si="8"/>
        <v>13</v>
      </c>
      <c r="AI14" s="2">
        <f t="shared" si="9"/>
        <v>4</v>
      </c>
      <c r="AJ14" s="2">
        <f t="shared" si="10"/>
        <v>9</v>
      </c>
      <c r="AK14" s="14">
        <f t="shared" si="11"/>
        <v>33.586919999999999</v>
      </c>
      <c r="AL14" s="15">
        <f t="shared" si="12"/>
        <v>8.021859752835713</v>
      </c>
      <c r="AM14" s="15">
        <f t="array" ref="AM14">STDEV(IF(C$2:C$1094=AE14,IF(L$2:L$1094&gt;0,L$2:L$1094)))/SQRT(AI14)</f>
        <v>0.25608898122359119</v>
      </c>
      <c r="AN14" s="15">
        <f t="shared" si="15"/>
        <v>0.25717977040599005</v>
      </c>
      <c r="AO14" s="16">
        <f t="array" ref="AO14">AVERAGE(IF($D$2:$D$1094=$AC14,IF($E$2:$E$1094=$AD14,IF(ISNUMBER($AA$2:$AA$1094)=TRUE,10^($AA$2:$AA$1094*1.66956+1.732077)))))</f>
        <v>38.298880832925562</v>
      </c>
      <c r="AP14" s="17">
        <f t="array" ref="AP14">AVERAGE(IF($D$2:$D$1094=$AC14,IF($E$2:$E$1094=$AD14,IF(ISNUMBER($AA$2:$AA$1094)=TRUE,LN(100*10^($AA$2:$AA$1094*1.66956+1.732077))))))</f>
        <v>8.0875940442301335</v>
      </c>
      <c r="AQ14" s="17">
        <v>7.5780116251829197</v>
      </c>
      <c r="AR14" s="19">
        <v>8.5940091126109408</v>
      </c>
      <c r="AS14" s="16">
        <f t="array" ref="AS14">AVERAGE(IF($D$2:$D$1094=$AC14,IF($E$2:$E$1094=$AD14,IF(ISNUMBER($Z$2:$Z$1094)=TRUE,10^($Z$2:$Z$1094*1.66956+1.732077)))))</f>
        <v>51.875279196280125</v>
      </c>
      <c r="AT14" s="17">
        <f t="array" ref="AT14">AVERAGE(IF($D$2:$D$1094=$AC14,IF($E$2:$E$1094=$AD14,IF(ISNUMBER($Z$2:$Z$1094)=TRUE,LN(100*10^($Z$2:$Z$1094*1.66956+1.732077))))))</f>
        <v>8.4418476386960748</v>
      </c>
      <c r="AU14" s="17">
        <v>8.0390988273928397</v>
      </c>
      <c r="AV14" s="17">
        <v>8.84441064751827</v>
      </c>
      <c r="AW14" s="12">
        <f t="array" ref="AW14">AVERAGE(IF($D$2:$D$1094=$AC14,IF($E$2:$E$1094=$AD14,IF(ISNUMBER($AA$2:$AA$1094)=TRUE,10^($AA$2:$AA$1094*2.04+1.96)))))</f>
        <v>62.194953176677274</v>
      </c>
      <c r="AX14" s="13">
        <f t="array" ref="AX14">AVERAGE(IF($D$2:$D$1094=$AC14,IF($E$2:$E$1094=$AD14,IF(ISNUMBER($AA$2:$AA$1094)=TRUE,LN(100*10^($AA$2:$AA$1094*2.04+1.96))))))</f>
        <v>8.5001730013270222</v>
      </c>
      <c r="AY14" s="13">
        <v>7.8855621441836998</v>
      </c>
      <c r="AZ14" s="18">
        <v>9.1250591387469004</v>
      </c>
      <c r="BA14" s="12">
        <f t="array" ref="BA14">AVERAGE(IF($D$2:$D$1094=$AC14,IF($E$2:$E$1094=$AD14,IF(ISNUMBER($Z$2:$Z$1094)=TRUE,10^($Z$2:$Z$1094*2.04+1.96)))))</f>
        <v>89.734101237197123</v>
      </c>
      <c r="BB14" s="13">
        <f t="array" ref="BB14">AVERAGE(IF($D$2:$D$1094=$AC14,IF($E$2:$E$1094=$AD14,IF(ISNUMBER($Z$2:$Z$1094)=TRUE,LN(100*10^($Z$2:$Z$1094*2.04+1.96))))))</f>
        <v>8.9330279647368585</v>
      </c>
      <c r="BC14" s="13">
        <v>8.4511794807983005</v>
      </c>
      <c r="BD14" s="13">
        <v>9.4384310542982206</v>
      </c>
      <c r="BE14" s="8"/>
      <c r="BF14" s="17">
        <f t="shared" si="13"/>
        <v>0.35425359446594129</v>
      </c>
      <c r="BG14" s="13">
        <f t="shared" si="14"/>
        <v>0.4328549634098362</v>
      </c>
    </row>
    <row r="15" spans="1:59" x14ac:dyDescent="0.25">
      <c r="A15" s="6" t="str">
        <f t="shared" si="0"/>
        <v>fragment</v>
      </c>
      <c r="B15" s="6" t="s">
        <v>18</v>
      </c>
      <c r="C15" s="6" t="str">
        <f t="shared" si="1"/>
        <v>FU29 436</v>
      </c>
      <c r="D15" s="6" t="s">
        <v>17</v>
      </c>
      <c r="E15" s="20">
        <v>436</v>
      </c>
      <c r="F15" s="6" t="s">
        <v>24</v>
      </c>
      <c r="G15" s="6" t="s">
        <v>21</v>
      </c>
      <c r="H15" s="6" t="s">
        <v>974</v>
      </c>
      <c r="I15" s="6" t="s">
        <v>20</v>
      </c>
      <c r="J15" s="29"/>
      <c r="K15" s="8" t="str">
        <f t="shared" si="2"/>
        <v/>
      </c>
      <c r="L15" s="8" t="str">
        <f t="shared" si="3"/>
        <v/>
      </c>
      <c r="M15" s="8">
        <v>3.39</v>
      </c>
      <c r="N15" s="8">
        <f>1.008+2.346+0.151+1.531</f>
        <v>5.0359999999999996</v>
      </c>
      <c r="O15" s="8">
        <v>3.4990000000000001</v>
      </c>
      <c r="P15" s="8">
        <f>0.814+1.488+1.519+1.118</f>
        <v>4.9390000000000001</v>
      </c>
      <c r="Q15" s="8"/>
      <c r="R15" s="8"/>
      <c r="S15" s="8"/>
      <c r="T15" s="8"/>
      <c r="U15" s="8">
        <f>N15/M15</f>
        <v>1.4855457227138642</v>
      </c>
      <c r="V15" s="8">
        <f t="shared" si="16"/>
        <v>1.4115461560445841</v>
      </c>
      <c r="W15" s="8"/>
      <c r="X15" s="8"/>
      <c r="Y15" s="31">
        <f t="shared" si="4"/>
        <v>-0.16093227303134292</v>
      </c>
      <c r="Z15" s="31">
        <f t="shared" si="5"/>
        <v>-0.16093227303134292</v>
      </c>
      <c r="AA15" s="31" t="str">
        <f t="shared" si="6"/>
        <v/>
      </c>
      <c r="AB15" s="36"/>
      <c r="AC15" s="2" t="s">
        <v>313</v>
      </c>
      <c r="AD15" s="2">
        <v>1491</v>
      </c>
      <c r="AE15" s="2" t="str">
        <f t="shared" si="7"/>
        <v>HC135 1491</v>
      </c>
      <c r="AF15" s="2" t="s">
        <v>20</v>
      </c>
      <c r="AG15" s="2" t="s">
        <v>977</v>
      </c>
      <c r="AH15" s="2">
        <f t="shared" si="8"/>
        <v>34</v>
      </c>
      <c r="AI15" s="2">
        <f t="shared" si="9"/>
        <v>21</v>
      </c>
      <c r="AJ15" s="2">
        <f t="shared" si="10"/>
        <v>13</v>
      </c>
      <c r="AK15" s="14">
        <f t="shared" si="11"/>
        <v>13.203120476190477</v>
      </c>
      <c r="AL15" s="15">
        <f t="shared" si="12"/>
        <v>6.8686731455836858</v>
      </c>
      <c r="AM15" s="15">
        <f t="array" ref="AM15">STDEV(IF(C$2:C$1094=AE15,IF(L$2:L$1094&gt;0,L$2:L$1094)))/SQRT(AI15)</f>
        <v>0.1900032016776716</v>
      </c>
      <c r="AN15" s="15">
        <f t="shared" si="15"/>
        <v>0.19147084543007284</v>
      </c>
      <c r="AO15" s="16">
        <f t="array" ref="AO15">AVERAGE(IF($D$2:$D$1094=$AC15,IF($E$2:$E$1094=$AD15,IF(ISNUMBER($AA$2:$AA$1094)=TRUE,10^($AA$2:$AA$1094*1.66956+1.732077)))))</f>
        <v>19.25891212627829</v>
      </c>
      <c r="AP15" s="17">
        <f t="array" ref="AP15">AVERAGE(IF($D$2:$D$1094=$AC15,IF($E$2:$E$1094=$AD15,IF(ISNUMBER($AA$2:$AA$1094)=TRUE,LN(100*10^($AA$2:$AA$1094*1.66956+1.732077))))))</f>
        <v>7.3799949381597267</v>
      </c>
      <c r="AQ15" s="17">
        <v>6.98143156522476</v>
      </c>
      <c r="AR15" s="19">
        <v>7.7750752249172299</v>
      </c>
      <c r="AS15" s="16">
        <f t="array" ref="AS15">AVERAGE(IF($D$2:$D$1094=$AC15,IF($E$2:$E$1094=$AD15,IF(ISNUMBER($Z$2:$Z$1094)=TRUE,10^($Z$2:$Z$1094*1.66956+1.732077)))))</f>
        <v>14.946470394359997</v>
      </c>
      <c r="AT15" s="17">
        <f t="array" ref="AT15">AVERAGE(IF($D$2:$D$1094=$AC15,IF($E$2:$E$1094=$AD15,IF(ISNUMBER($Z$2:$Z$1094)=TRUE,LN(100*10^($Z$2:$Z$1094*1.66956+1.732077))))))</f>
        <v>7.2254834772397976</v>
      </c>
      <c r="AU15" s="17">
        <v>6.8372144298173998</v>
      </c>
      <c r="AV15" s="17">
        <v>7.6099122727981499</v>
      </c>
      <c r="AW15" s="12">
        <f t="array" ref="AW15">AVERAGE(IF($D$2:$D$1094=$AC15,IF($E$2:$E$1094=$AD15,IF(ISNUMBER($AA$2:$AA$1094)=TRUE,10^($AA$2:$AA$1094*2.04+1.96)))))</f>
        <v>27.014002266463432</v>
      </c>
      <c r="AX15" s="13">
        <f t="array" ref="AX15">AVERAGE(IF($D$2:$D$1094=$AC15,IF($E$2:$E$1094=$AD15,IF(ISNUMBER($AA$2:$AA$1094)=TRUE,LN(100*10^($AA$2:$AA$1094*2.04+1.96))))))</f>
        <v>7.6355726417211205</v>
      </c>
      <c r="AY15" s="13">
        <v>7.1577931898029004</v>
      </c>
      <c r="AZ15" s="18">
        <v>8.1347173568846802</v>
      </c>
      <c r="BA15" s="12">
        <f t="array" ref="BA15">AVERAGE(IF($D$2:$D$1094=$AC15,IF($E$2:$E$1094=$AD15,IF(ISNUMBER($Z$2:$Z$1094)=TRUE,10^($Z$2:$Z$1094*2.04+1.96)))))</f>
        <v>19.458684212872047</v>
      </c>
      <c r="BB15" s="13">
        <f t="array" ref="BB15">AVERAGE(IF($D$2:$D$1094=$AC15,IF($E$2:$E$1094=$AD15,IF(ISNUMBER($Z$2:$Z$1094)=TRUE,LN(100*10^($Z$2:$Z$1094*2.04+1.96))))))</f>
        <v>7.4467783604274533</v>
      </c>
      <c r="BC15" s="13">
        <v>6.97811474811785</v>
      </c>
      <c r="BD15" s="13">
        <v>7.9297989130373097</v>
      </c>
      <c r="BE15" s="8"/>
      <c r="BF15" s="17">
        <f t="shared" si="13"/>
        <v>-0.15451146091992918</v>
      </c>
      <c r="BG15" s="13">
        <f t="shared" si="14"/>
        <v>-0.18879428129366715</v>
      </c>
    </row>
    <row r="16" spans="1:59" x14ac:dyDescent="0.25">
      <c r="A16" s="6" t="str">
        <f t="shared" si="0"/>
        <v>fragment</v>
      </c>
      <c r="B16" s="6" t="s">
        <v>18</v>
      </c>
      <c r="C16" s="6" t="str">
        <f t="shared" si="1"/>
        <v>FU29 436</v>
      </c>
      <c r="D16" s="6" t="s">
        <v>17</v>
      </c>
      <c r="E16" s="20">
        <v>436</v>
      </c>
      <c r="F16" s="6" t="s">
        <v>24</v>
      </c>
      <c r="G16" s="6" t="s">
        <v>22</v>
      </c>
      <c r="H16" s="6" t="s">
        <v>974</v>
      </c>
      <c r="I16" s="6" t="s">
        <v>20</v>
      </c>
      <c r="J16" s="29"/>
      <c r="K16" s="8" t="str">
        <f t="shared" si="2"/>
        <v/>
      </c>
      <c r="L16" s="8" t="str">
        <f t="shared" si="3"/>
        <v/>
      </c>
      <c r="M16" s="8"/>
      <c r="N16" s="8"/>
      <c r="O16" s="8">
        <v>1.7890000000000001</v>
      </c>
      <c r="P16" s="8">
        <f>0.368+1.475+1.355+0.638</f>
        <v>3.8359999999999999</v>
      </c>
      <c r="Q16" s="8">
        <v>1.196</v>
      </c>
      <c r="R16" s="8">
        <f>0.775+1.121+0.709</f>
        <v>2.605</v>
      </c>
      <c r="S16" s="8"/>
      <c r="T16" s="8"/>
      <c r="U16" s="8"/>
      <c r="V16" s="8">
        <f t="shared" si="16"/>
        <v>2.1442146450531019</v>
      </c>
      <c r="W16" s="8">
        <f>R16/Q16</f>
        <v>2.17809364548495</v>
      </c>
      <c r="X16" s="8"/>
      <c r="Y16" s="31">
        <f t="shared" si="4"/>
        <v>-0.33468574423274244</v>
      </c>
      <c r="Z16" s="31">
        <f t="shared" si="5"/>
        <v>-0.33468574423274244</v>
      </c>
      <c r="AA16" s="31" t="str">
        <f t="shared" si="6"/>
        <v/>
      </c>
      <c r="AB16" s="36"/>
      <c r="AC16" s="2" t="s">
        <v>963</v>
      </c>
      <c r="AD16" s="2">
        <v>572</v>
      </c>
      <c r="AE16" s="2" t="str">
        <f t="shared" si="7"/>
        <v>HC14 572</v>
      </c>
      <c r="AF16" s="2" t="s">
        <v>5</v>
      </c>
      <c r="AG16" s="2" t="s">
        <v>977</v>
      </c>
      <c r="AH16" s="2">
        <f t="shared" si="8"/>
        <v>18</v>
      </c>
      <c r="AI16" s="2">
        <f t="shared" si="9"/>
        <v>4</v>
      </c>
      <c r="AJ16" s="2">
        <f t="shared" si="10"/>
        <v>14</v>
      </c>
      <c r="AK16" s="14">
        <f t="shared" si="11"/>
        <v>24.754249999999999</v>
      </c>
      <c r="AL16" s="15">
        <f t="shared" si="12"/>
        <v>7.728490167469805</v>
      </c>
      <c r="AM16" s="15">
        <f t="array" ref="AM16">STDEV(IF(C$2:C$1094=AE16,IF(L$2:L$1094&gt;0,L$2:L$1094)))/SQRT(AI16)</f>
        <v>0.22498693846826889</v>
      </c>
      <c r="AN16" s="15">
        <f t="shared" si="15"/>
        <v>0.22622774030446732</v>
      </c>
      <c r="AO16" s="16">
        <f t="array" ref="AO16">AVERAGE(IF($D$2:$D$1094=$AC16,IF($E$2:$E$1094=$AD16,IF(ISNUMBER($AA$2:$AA$1094)=TRUE,10^($AA$2:$AA$1094*1.66956+1.732077)))))</f>
        <v>16.956267262112004</v>
      </c>
      <c r="AP16" s="17">
        <f t="array" ref="AP16">AVERAGE(IF($D$2:$D$1094=$AC16,IF($E$2:$E$1094=$AD16,IF(ISNUMBER($AA$2:$AA$1094)=TRUE,LN(100*10^($AA$2:$AA$1094*1.66956+1.732077))))))</f>
        <v>7.3408601657033605</v>
      </c>
      <c r="AQ16" s="17">
        <v>6.8974049396151704</v>
      </c>
      <c r="AR16" s="19">
        <v>7.7880301542339501</v>
      </c>
      <c r="AS16" s="16">
        <f t="array" ref="AS16">AVERAGE(IF($D$2:$D$1094=$AC16,IF($E$2:$E$1094=$AD16,IF(ISNUMBER($Z$2:$Z$1094)=TRUE,10^($Z$2:$Z$1094*1.66956+1.732077)))))</f>
        <v>38.505762919311245</v>
      </c>
      <c r="AT16" s="17">
        <f t="array" ref="AT16">AVERAGE(IF($D$2:$D$1094=$AC16,IF($E$2:$E$1094=$AD16,IF(ISNUMBER($Z$2:$Z$1094)=TRUE,LN(100*10^($Z$2:$Z$1094*1.66956+1.732077))))))</f>
        <v>8.0496357487682531</v>
      </c>
      <c r="AU16" s="17">
        <v>7.6319998543887602</v>
      </c>
      <c r="AV16" s="17">
        <v>8.4636457738616393</v>
      </c>
      <c r="AW16" s="12">
        <f t="array" ref="AW16">AVERAGE(IF($D$2:$D$1094=$AC16,IF($E$2:$E$1094=$AD16,IF(ISNUMBER($AA$2:$AA$1094)=TRUE,10^($AA$2:$AA$1094*2.04+1.96)))))</f>
        <v>22.720302943547903</v>
      </c>
      <c r="AX16" s="13">
        <f t="array" ref="AX16">AVERAGE(IF($D$2:$D$1094=$AC16,IF($E$2:$E$1094=$AD16,IF(ISNUMBER($AA$2:$AA$1094)=TRUE,LN(100*10^($AA$2:$AA$1094*2.04+1.96))))))</f>
        <v>7.5877546921949071</v>
      </c>
      <c r="AY16" s="13">
        <v>7.0456580179122996</v>
      </c>
      <c r="AZ16" s="18">
        <v>8.1400346469976004</v>
      </c>
      <c r="BA16" s="12">
        <f t="array" ref="BA16">AVERAGE(IF($D$2:$D$1094=$AC16,IF($E$2:$E$1094=$AD16,IF(ISNUMBER($Z$2:$Z$1094)=TRUE,10^($Z$2:$Z$1094*2.04+1.96)))))</f>
        <v>62.855029558504775</v>
      </c>
      <c r="BB16" s="13">
        <f t="array" ref="BB16">AVERAGE(IF($D$2:$D$1094=$AC16,IF($E$2:$E$1094=$AD16,IF(ISNUMBER($Z$2:$Z$1094)=TRUE,LN(100*10^($Z$2:$Z$1094*2.04+1.96))))))</f>
        <v>8.4537925641206737</v>
      </c>
      <c r="BC16" s="13">
        <v>7.94941379220238</v>
      </c>
      <c r="BD16" s="13">
        <v>8.9793333967618594</v>
      </c>
      <c r="BE16" s="8"/>
      <c r="BF16" s="17">
        <f t="shared" si="13"/>
        <v>0.70877558306489252</v>
      </c>
      <c r="BG16" s="13">
        <f t="shared" si="14"/>
        <v>0.86603787192576664</v>
      </c>
    </row>
    <row r="17" spans="1:59" x14ac:dyDescent="0.25">
      <c r="A17" s="6" t="str">
        <f t="shared" si="0"/>
        <v>fragment</v>
      </c>
      <c r="B17" s="6" t="s">
        <v>18</v>
      </c>
      <c r="C17" s="6" t="str">
        <f t="shared" si="1"/>
        <v>FU29 436</v>
      </c>
      <c r="D17" s="6" t="s">
        <v>17</v>
      </c>
      <c r="E17" s="20">
        <v>436</v>
      </c>
      <c r="F17" s="6" t="s">
        <v>24</v>
      </c>
      <c r="G17" s="6" t="s">
        <v>23</v>
      </c>
      <c r="H17" s="6" t="s">
        <v>974</v>
      </c>
      <c r="I17" s="6" t="s">
        <v>20</v>
      </c>
      <c r="J17" s="29"/>
      <c r="K17" s="8" t="str">
        <f t="shared" si="2"/>
        <v/>
      </c>
      <c r="L17" s="8" t="str">
        <f t="shared" si="3"/>
        <v/>
      </c>
      <c r="M17" s="8"/>
      <c r="N17" s="8"/>
      <c r="O17" s="8">
        <v>2.4689999999999999</v>
      </c>
      <c r="P17" s="8">
        <f>0.998+1.316+1.557+0.746</f>
        <v>4.617</v>
      </c>
      <c r="Q17" s="8">
        <v>2.0430000000000001</v>
      </c>
      <c r="R17" s="8">
        <f>0.806+1.036+1.151+1.237+0.416</f>
        <v>4.6460000000000008</v>
      </c>
      <c r="S17" s="8">
        <v>2.3570000000000002</v>
      </c>
      <c r="T17" s="8">
        <f>1.064+1.19+1.165+1.324+0.625</f>
        <v>5.3680000000000003</v>
      </c>
      <c r="U17" s="8"/>
      <c r="V17" s="8">
        <f t="shared" si="16"/>
        <v>1.8699878493317132</v>
      </c>
      <c r="W17" s="8">
        <f>R17/Q17</f>
        <v>2.2741067058247677</v>
      </c>
      <c r="X17" s="8">
        <f>T17/S17</f>
        <v>2.2774713619007212</v>
      </c>
      <c r="Y17" s="31">
        <f t="shared" si="4"/>
        <v>-0.33051969020463107</v>
      </c>
      <c r="Z17" s="31">
        <f t="shared" si="5"/>
        <v>-0.33051969020463107</v>
      </c>
      <c r="AA17" s="31" t="str">
        <f t="shared" si="6"/>
        <v/>
      </c>
      <c r="AB17" s="36"/>
      <c r="AC17" s="2" t="s">
        <v>347</v>
      </c>
      <c r="AD17" s="2">
        <v>900</v>
      </c>
      <c r="AE17" s="2" t="str">
        <f t="shared" si="7"/>
        <v>HC162 900</v>
      </c>
      <c r="AF17" s="2" t="s">
        <v>5</v>
      </c>
      <c r="AG17" s="2" t="s">
        <v>977</v>
      </c>
      <c r="AH17" s="2">
        <f t="shared" si="8"/>
        <v>14</v>
      </c>
      <c r="AI17" s="2">
        <f t="shared" si="9"/>
        <v>9</v>
      </c>
      <c r="AJ17" s="2">
        <f t="shared" si="10"/>
        <v>5</v>
      </c>
      <c r="AK17" s="14">
        <f t="shared" si="11"/>
        <v>20.323276666666661</v>
      </c>
      <c r="AL17" s="15">
        <f t="shared" si="12"/>
        <v>7.5447763990967678</v>
      </c>
      <c r="AM17" s="15">
        <f t="array" ref="AM17">STDEV(IF(C$2:C$1094=AE17,IF(L$2:L$1094&gt;0,L$2:L$1094)))/SQRT(AI17)</f>
        <v>0.14751672210937986</v>
      </c>
      <c r="AN17" s="15">
        <f t="shared" si="15"/>
        <v>0.14940231358261122</v>
      </c>
      <c r="AO17" s="16">
        <f t="array" ref="AO17">AVERAGE(IF($D$2:$D$1094=$AC17,IF($E$2:$E$1094=$AD17,IF(ISNUMBER($AA$2:$AA$1094)=TRUE,10^($AA$2:$AA$1094*1.66956+1.732077)))))</f>
        <v>13.015487191739332</v>
      </c>
      <c r="AP17" s="17">
        <f t="array" ref="AP17">AVERAGE(IF($D$2:$D$1094=$AC17,IF($E$2:$E$1094=$AD17,IF(ISNUMBER($AA$2:$AA$1094)=TRUE,LN(100*10^($AA$2:$AA$1094*1.66956+1.732077))))))</f>
        <v>7.10132705683555</v>
      </c>
      <c r="AQ17" s="17">
        <v>6.7065140296677104</v>
      </c>
      <c r="AR17" s="19">
        <v>7.49794350228174</v>
      </c>
      <c r="AS17" s="16">
        <f t="array" ref="AS17">AVERAGE(IF($D$2:$D$1094=$AC17,IF($E$2:$E$1094=$AD17,IF(ISNUMBER($Z$2:$Z$1094)=TRUE,10^($Z$2:$Z$1094*1.66956+1.732077)))))</f>
        <v>18.48524378764801</v>
      </c>
      <c r="AT17" s="17">
        <f t="array" ref="AT17">AVERAGE(IF($D$2:$D$1094=$AC17,IF($E$2:$E$1094=$AD17,IF(ISNUMBER($Z$2:$Z$1094)=TRUE,LN(100*10^($Z$2:$Z$1094*1.66956+1.732077))))))</f>
        <v>7.4088875040906572</v>
      </c>
      <c r="AU17" s="17">
        <v>6.9633748847494603</v>
      </c>
      <c r="AV17" s="17">
        <v>7.8511757479848399</v>
      </c>
      <c r="AW17" s="12">
        <f t="array" ref="AW17">AVERAGE(IF($D$2:$D$1094=$AC17,IF($E$2:$E$1094=$AD17,IF(ISNUMBER($AA$2:$AA$1094)=TRUE,10^($AA$2:$AA$1094*2.04+1.96)))))</f>
        <v>16.303246619657184</v>
      </c>
      <c r="AX17" s="13">
        <f t="array" ref="AX17">AVERAGE(IF($D$2:$D$1094=$AC17,IF($E$2:$E$1094=$AD17,IF(ISNUMBER($AA$2:$AA$1094)=TRUE,LN(100*10^($AA$2:$AA$1094*2.04+1.96))))))</f>
        <v>7.2950742601707015</v>
      </c>
      <c r="AY17" s="13">
        <v>6.8169297836501901</v>
      </c>
      <c r="AZ17" s="18">
        <v>7.7908392747254496</v>
      </c>
      <c r="BA17" s="12">
        <f t="array" ref="BA17">AVERAGE(IF($D$2:$D$1094=$AC17,IF($E$2:$E$1094=$AD17,IF(ISNUMBER($Z$2:$Z$1094)=TRUE,10^($Z$2:$Z$1094*2.04+1.96)))))</f>
        <v>25.33677258882658</v>
      </c>
      <c r="BB17" s="13">
        <f t="array" ref="BB17">AVERAGE(IF($D$2:$D$1094=$AC17,IF($E$2:$E$1094=$AD17,IF(ISNUMBER($Z$2:$Z$1094)=TRUE,LN(100*10^($Z$2:$Z$1094*2.04+1.96))))))</f>
        <v>7.6708758560405217</v>
      </c>
      <c r="BC17" s="13">
        <v>7.1401679726221898</v>
      </c>
      <c r="BD17" s="13">
        <v>8.2215790701165901</v>
      </c>
      <c r="BE17" s="8"/>
      <c r="BF17" s="17">
        <f t="shared" si="13"/>
        <v>0.30756044725510723</v>
      </c>
      <c r="BG17" s="13">
        <f t="shared" si="14"/>
        <v>0.3758015958698202</v>
      </c>
    </row>
    <row r="18" spans="1:59" x14ac:dyDescent="0.25">
      <c r="A18" s="6" t="str">
        <f t="shared" si="0"/>
        <v>complete</v>
      </c>
      <c r="B18" s="6" t="s">
        <v>18</v>
      </c>
      <c r="C18" s="6" t="str">
        <f t="shared" si="1"/>
        <v>FU29 436</v>
      </c>
      <c r="D18" s="6" t="s">
        <v>17</v>
      </c>
      <c r="E18" s="20">
        <v>436</v>
      </c>
      <c r="F18" s="6" t="s">
        <v>24</v>
      </c>
      <c r="G18" s="6" t="s">
        <v>25</v>
      </c>
      <c r="H18" s="6" t="s">
        <v>974</v>
      </c>
      <c r="I18" s="6" t="s">
        <v>20</v>
      </c>
      <c r="J18" s="29">
        <v>60.856729999999999</v>
      </c>
      <c r="K18" s="8">
        <f t="shared" si="2"/>
        <v>1.7843086128083914</v>
      </c>
      <c r="L18" s="8">
        <f t="shared" si="3"/>
        <v>8.7136925991415772</v>
      </c>
      <c r="M18" s="8"/>
      <c r="N18" s="8"/>
      <c r="O18" s="8">
        <v>12.558</v>
      </c>
      <c r="P18" s="8">
        <f>1.063 + 2.413 + 2.81 + 3.79 + 1.531</f>
        <v>11.607000000000001</v>
      </c>
      <c r="Q18" s="8">
        <v>5.5330000000000004</v>
      </c>
      <c r="R18" s="8">
        <f>1.324 + 1.923 + 1.619</f>
        <v>4.8659999999999997</v>
      </c>
      <c r="S18" s="8"/>
      <c r="T18" s="8"/>
      <c r="U18" s="8"/>
      <c r="V18" s="8">
        <f t="shared" si="16"/>
        <v>0.92427138079311999</v>
      </c>
      <c r="W18" s="8">
        <f>R18/Q18</f>
        <v>0.8794505693114042</v>
      </c>
      <c r="X18" s="8"/>
      <c r="Y18" s="31">
        <f t="shared" si="4"/>
        <v>4.4860405275275343E-2</v>
      </c>
      <c r="Z18" s="31" t="str">
        <f t="shared" si="5"/>
        <v/>
      </c>
      <c r="AA18" s="31">
        <f t="shared" si="6"/>
        <v>4.4860405275275343E-2</v>
      </c>
      <c r="AB18" s="36"/>
      <c r="AC18" s="2" t="s">
        <v>371</v>
      </c>
      <c r="AD18" s="2">
        <v>428</v>
      </c>
      <c r="AE18" s="2" t="str">
        <f t="shared" si="7"/>
        <v>HC166 428</v>
      </c>
      <c r="AF18" s="2" t="s">
        <v>20</v>
      </c>
      <c r="AG18" s="2" t="s">
        <v>979</v>
      </c>
      <c r="AH18" s="2">
        <f t="shared" si="8"/>
        <v>49</v>
      </c>
      <c r="AI18" s="2">
        <f t="shared" si="9"/>
        <v>24</v>
      </c>
      <c r="AJ18" s="2">
        <f t="shared" si="10"/>
        <v>25</v>
      </c>
      <c r="AK18" s="14">
        <f t="shared" si="11"/>
        <v>46.397418749999993</v>
      </c>
      <c r="AL18" s="15">
        <f t="shared" si="12"/>
        <v>8.3985850107021793</v>
      </c>
      <c r="AM18" s="15">
        <f t="array" ref="AM18">STDEV(IF(C$2:C$1094=AE18,IF(L$2:L$1094&gt;0,L$2:L$1094)))/SQRT(AI18)</f>
        <v>6.3175600922568367E-2</v>
      </c>
      <c r="AN18" s="15">
        <f t="shared" si="15"/>
        <v>6.7461281887231592E-2</v>
      </c>
      <c r="AO18" s="16">
        <f t="array" ref="AO18">AVERAGE(IF($D$2:$D$1094=$AC18,IF($E$2:$E$1094=$AD18,IF(ISNUMBER($AA$2:$AA$1094)=TRUE,10^($AA$2:$AA$1094*1.66956+1.732077)))))</f>
        <v>37.555120818851634</v>
      </c>
      <c r="AP18" s="17">
        <f t="array" ref="AP18">AVERAGE(IF($D$2:$D$1094=$AC18,IF($E$2:$E$1094=$AD18,IF(ISNUMBER($AA$2:$AA$1094)=TRUE,LN(100*10^($AA$2:$AA$1094*1.66956+1.732077))))))</f>
        <v>8.1839287089545074</v>
      </c>
      <c r="AQ18" s="17">
        <v>7.8092836956826899</v>
      </c>
      <c r="AR18" s="19">
        <v>8.5586720166059091</v>
      </c>
      <c r="AS18" s="16">
        <f t="array" ref="AS18">AVERAGE(IF($D$2:$D$1094=$AC18,IF($E$2:$E$1094=$AD18,IF(ISNUMBER($Z$2:$Z$1094)=TRUE,10^($Z$2:$Z$1094*1.66956+1.732077)))))</f>
        <v>37.587193130414583</v>
      </c>
      <c r="AT18" s="17">
        <f t="array" ref="AT18">AVERAGE(IF($D$2:$D$1094=$AC18,IF($E$2:$E$1094=$AD18,IF(ISNUMBER($Z$2:$Z$1094)=TRUE,LN(100*10^($Z$2:$Z$1094*1.66956+1.732077))))))</f>
        <v>8.1853673014714925</v>
      </c>
      <c r="AU18" s="17">
        <v>7.8142552475278899</v>
      </c>
      <c r="AV18" s="17">
        <v>8.5565869094342499</v>
      </c>
      <c r="AW18" s="12">
        <f t="array" ref="AW18">AVERAGE(IF($D$2:$D$1094=$AC18,IF($E$2:$E$1094=$AD18,IF(ISNUMBER($AA$2:$AA$1094)=TRUE,10^($AA$2:$AA$1094*2.04+1.96)))))</f>
        <v>59.349622861511996</v>
      </c>
      <c r="AX18" s="13">
        <f t="array" ref="AX18">AVERAGE(IF($D$2:$D$1094=$AC18,IF($E$2:$E$1094=$AD18,IF(ISNUMBER($AA$2:$AA$1094)=TRUE,LN(100*10^($AA$2:$AA$1094*2.04+1.96))))))</f>
        <v>8.6178822876286336</v>
      </c>
      <c r="AY18" s="13">
        <v>8.1683539661244708</v>
      </c>
      <c r="AZ18" s="18">
        <v>9.0843284802104503</v>
      </c>
      <c r="BA18" s="12">
        <f t="array" ref="BA18">AVERAGE(IF($D$2:$D$1094=$AC18,IF($E$2:$E$1094=$AD18,IF(ISNUMBER($Z$2:$Z$1094)=TRUE,10^($Z$2:$Z$1094*2.04+1.96)))))</f>
        <v>59.375978232447068</v>
      </c>
      <c r="BB18" s="13">
        <f t="array" ref="BB18">AVERAGE(IF($D$2:$D$1094=$AC18,IF($E$2:$E$1094=$AD18,IF(ISNUMBER($Z$2:$Z$1094)=TRUE,LN(100*10^($Z$2:$Z$1094*2.04+1.96))))))</f>
        <v>8.6196400733534091</v>
      </c>
      <c r="BC18" s="13">
        <v>8.1707944154670997</v>
      </c>
      <c r="BD18" s="13">
        <v>9.0877256740971202</v>
      </c>
      <c r="BE18" s="8"/>
      <c r="BF18" s="17">
        <f t="shared" si="13"/>
        <v>1.4385925169850822E-3</v>
      </c>
      <c r="BG18" s="13">
        <f t="shared" si="14"/>
        <v>1.7577857247754736E-3</v>
      </c>
    </row>
    <row r="19" spans="1:59" x14ac:dyDescent="0.25">
      <c r="A19" s="6" t="str">
        <f t="shared" si="0"/>
        <v>complete</v>
      </c>
      <c r="B19" s="6" t="s">
        <v>18</v>
      </c>
      <c r="C19" s="6" t="str">
        <f t="shared" si="1"/>
        <v>FU29 436</v>
      </c>
      <c r="D19" s="6" t="s">
        <v>17</v>
      </c>
      <c r="E19" s="20">
        <v>436</v>
      </c>
      <c r="F19" s="6" t="s">
        <v>24</v>
      </c>
      <c r="G19" s="6" t="s">
        <v>26</v>
      </c>
      <c r="H19" s="6" t="s">
        <v>974</v>
      </c>
      <c r="I19" s="6" t="s">
        <v>20</v>
      </c>
      <c r="J19" s="29">
        <v>59.039000000000001</v>
      </c>
      <c r="K19" s="8">
        <f t="shared" si="2"/>
        <v>1.7711389928163417</v>
      </c>
      <c r="L19" s="8">
        <f t="shared" si="3"/>
        <v>8.683368428467487</v>
      </c>
      <c r="M19" s="8"/>
      <c r="N19" s="8"/>
      <c r="O19" s="8">
        <v>6.899</v>
      </c>
      <c r="P19" s="8">
        <f>2.084+2.385+1.597</f>
        <v>6.0659999999999989</v>
      </c>
      <c r="Q19" s="8"/>
      <c r="R19" s="8"/>
      <c r="S19" s="8">
        <v>8.2379999999999995</v>
      </c>
      <c r="T19" s="8">
        <f>1.777+2.586+1.91</f>
        <v>6.2729999999999997</v>
      </c>
      <c r="U19" s="8"/>
      <c r="V19" s="8">
        <f t="shared" si="16"/>
        <v>0.87925786345847212</v>
      </c>
      <c r="W19" s="8"/>
      <c r="X19" s="8">
        <f t="shared" ref="X19:X29" si="17">T19/S19</f>
        <v>0.76147123088128188</v>
      </c>
      <c r="Y19" s="31">
        <f t="shared" si="4"/>
        <v>8.5993116345093448E-2</v>
      </c>
      <c r="Z19" s="31" t="str">
        <f t="shared" si="5"/>
        <v/>
      </c>
      <c r="AA19" s="31">
        <f t="shared" si="6"/>
        <v>8.5993116345093448E-2</v>
      </c>
      <c r="AB19" s="36"/>
      <c r="AC19" s="2" t="s">
        <v>422</v>
      </c>
      <c r="AD19" s="2">
        <v>428</v>
      </c>
      <c r="AE19" s="2" t="str">
        <f t="shared" si="7"/>
        <v>HC169 428</v>
      </c>
      <c r="AF19" s="2" t="s">
        <v>20</v>
      </c>
      <c r="AG19" s="2" t="s">
        <v>979</v>
      </c>
      <c r="AH19" s="2">
        <f t="shared" si="8"/>
        <v>14</v>
      </c>
      <c r="AI19" s="2">
        <f t="shared" si="9"/>
        <v>9</v>
      </c>
      <c r="AJ19" s="2">
        <f t="shared" si="10"/>
        <v>5</v>
      </c>
      <c r="AK19" s="14">
        <f t="shared" si="11"/>
        <v>21.283488888888893</v>
      </c>
      <c r="AL19" s="15">
        <f t="shared" si="12"/>
        <v>7.532930717871853</v>
      </c>
      <c r="AM19" s="15">
        <f t="array" ref="AM19">STDEV(IF(C$2:C$1094=AE19,IF(L$2:L$1094&gt;0,L$2:L$1094)))/SQRT(AI19)</f>
        <v>0.18209177672801105</v>
      </c>
      <c r="AN19" s="15">
        <f t="shared" si="15"/>
        <v>0.18362266514214612</v>
      </c>
      <c r="AO19" s="16">
        <f t="array" ref="AO19">AVERAGE(IF($D$2:$D$1094=$AC19,IF($E$2:$E$1094=$AD19,IF(ISNUMBER($AA$2:$AA$1094)=TRUE,10^($AA$2:$AA$1094*1.66956+1.732077)))))</f>
        <v>31.511226456498687</v>
      </c>
      <c r="AP19" s="17">
        <f t="array" ref="AP19">AVERAGE(IF($D$2:$D$1094=$AC19,IF($E$2:$E$1094=$AD19,IF(ISNUMBER($AA$2:$AA$1094)=TRUE,LN(100*10^($AA$2:$AA$1094*1.66956+1.732077))))))</f>
        <v>7.953872875231939</v>
      </c>
      <c r="AQ19" s="17">
        <v>7.5534004739423501</v>
      </c>
      <c r="AR19" s="19">
        <v>8.3531415278020695</v>
      </c>
      <c r="AS19" s="16">
        <f t="array" ref="AS19">AVERAGE(IF($D$2:$D$1094=$AC19,IF($E$2:$E$1094=$AD19,IF(ISNUMBER($Z$2:$Z$1094)=TRUE,10^($Z$2:$Z$1094*1.66956+1.732077)))))</f>
        <v>31.85447300952838</v>
      </c>
      <c r="AT19" s="17">
        <f t="array" ref="AT19">AVERAGE(IF($D$2:$D$1094=$AC19,IF($E$2:$E$1094=$AD19,IF(ISNUMBER($Z$2:$Z$1094)=TRUE,LN(100*10^($Z$2:$Z$1094*1.66956+1.732077))))))</f>
        <v>8.0577702221645886</v>
      </c>
      <c r="AU19" s="17">
        <v>7.6834665300335399</v>
      </c>
      <c r="AV19" s="17">
        <v>8.4287344599816496</v>
      </c>
      <c r="AW19" s="12">
        <f t="array" ref="AW19">AVERAGE(IF($D$2:$D$1094=$AC19,IF($E$2:$E$1094=$AD19,IF(ISNUMBER($AA$2:$AA$1094)=TRUE,10^($AA$2:$AA$1094*2.04+1.96)))))</f>
        <v>48.509979086504217</v>
      </c>
      <c r="AX19" s="13">
        <f t="array" ref="AX19">AVERAGE(IF($D$2:$D$1094=$AC19,IF($E$2:$E$1094=$AD19,IF(ISNUMBER($AA$2:$AA$1094)=TRUE,LN(100*10^($AA$2:$AA$1094*2.04+1.96))))))</f>
        <v>8.3367819373602785</v>
      </c>
      <c r="AY19" s="13">
        <v>7.8482203586389403</v>
      </c>
      <c r="AZ19" s="18">
        <v>8.8393649879911305</v>
      </c>
      <c r="BA19" s="12">
        <f t="array" ref="BA19">AVERAGE(IF($D$2:$D$1094=$AC19,IF($E$2:$E$1094=$AD19,IF(ISNUMBER($Z$2:$Z$1094)=TRUE,10^($Z$2:$Z$1094*2.04+1.96)))))</f>
        <v>48.005719624535047</v>
      </c>
      <c r="BB19" s="13">
        <f t="array" ref="BB19">AVERAGE(IF($D$2:$D$1094=$AC19,IF($E$2:$E$1094=$AD19,IF(ISNUMBER($Z$2:$Z$1094)=TRUE,LN(100*10^($Z$2:$Z$1094*2.04+1.96))))))</f>
        <v>8.463731904862259</v>
      </c>
      <c r="BC19" s="13">
        <v>8.0128949673127199</v>
      </c>
      <c r="BD19" s="13">
        <v>8.9339144389981104</v>
      </c>
      <c r="BE19" s="8"/>
      <c r="BF19" s="17">
        <f t="shared" si="13"/>
        <v>0.10389734693264963</v>
      </c>
      <c r="BG19" s="13">
        <f t="shared" si="14"/>
        <v>0.12694996750198051</v>
      </c>
    </row>
    <row r="20" spans="1:59" x14ac:dyDescent="0.25">
      <c r="A20" s="6" t="str">
        <f t="shared" si="0"/>
        <v>complete</v>
      </c>
      <c r="B20" s="6" t="s">
        <v>18</v>
      </c>
      <c r="C20" s="6" t="str">
        <f t="shared" si="1"/>
        <v>FU29 436</v>
      </c>
      <c r="D20" s="6" t="s">
        <v>17</v>
      </c>
      <c r="E20" s="20">
        <v>436</v>
      </c>
      <c r="F20" s="6" t="s">
        <v>24</v>
      </c>
      <c r="G20" s="6" t="s">
        <v>27</v>
      </c>
      <c r="H20" s="6" t="s">
        <v>974</v>
      </c>
      <c r="I20" s="6" t="s">
        <v>20</v>
      </c>
      <c r="J20" s="29">
        <f>45.989*2</f>
        <v>91.977999999999994</v>
      </c>
      <c r="K20" s="8">
        <f t="shared" si="2"/>
        <v>1.9636839618980841</v>
      </c>
      <c r="L20" s="8">
        <f t="shared" si="3"/>
        <v>9.1267196040061069</v>
      </c>
      <c r="M20" s="8"/>
      <c r="N20" s="8"/>
      <c r="O20" s="8">
        <v>11.813000000000001</v>
      </c>
      <c r="P20" s="8">
        <f>1.908 + 1.49  + 1.582 + 3.705 + 0.123 + 1.806</f>
        <v>10.613999999999997</v>
      </c>
      <c r="Q20" s="8"/>
      <c r="R20" s="8"/>
      <c r="S20" s="8">
        <v>19.134</v>
      </c>
      <c r="T20" s="8">
        <f>1.802 + 3.956 + 3.49 + 3.044 + 0.899</f>
        <v>13.191000000000003</v>
      </c>
      <c r="U20" s="8"/>
      <c r="V20" s="8">
        <f t="shared" si="16"/>
        <v>0.89850165072377863</v>
      </c>
      <c r="W20" s="8"/>
      <c r="X20" s="8">
        <f t="shared" si="17"/>
        <v>0.68940106616494212</v>
      </c>
      <c r="Y20" s="31">
        <f t="shared" si="4"/>
        <v>0.10020610387806508</v>
      </c>
      <c r="Z20" s="31" t="str">
        <f t="shared" si="5"/>
        <v/>
      </c>
      <c r="AA20" s="31">
        <f t="shared" si="6"/>
        <v>0.10020610387806508</v>
      </c>
      <c r="AB20" s="36"/>
      <c r="AC20" s="2" t="s">
        <v>437</v>
      </c>
      <c r="AD20" s="2">
        <v>428</v>
      </c>
      <c r="AE20" s="2" t="str">
        <f t="shared" si="7"/>
        <v>HC199 428</v>
      </c>
      <c r="AF20" s="2" t="s">
        <v>20</v>
      </c>
      <c r="AG20" s="2" t="s">
        <v>979</v>
      </c>
      <c r="AH20" s="2">
        <f t="shared" si="8"/>
        <v>46</v>
      </c>
      <c r="AI20" s="2">
        <f t="shared" si="9"/>
        <v>24</v>
      </c>
      <c r="AJ20" s="2">
        <f t="shared" si="10"/>
        <v>22</v>
      </c>
      <c r="AK20" s="14">
        <f t="shared" si="11"/>
        <v>44.039024583333322</v>
      </c>
      <c r="AL20" s="15">
        <f t="shared" si="12"/>
        <v>8.271115993690346</v>
      </c>
      <c r="AM20" s="15">
        <f t="array" ref="AM20">STDEV(IF(C$2:C$1094=AE20,IF(L$2:L$1094&gt;0,L$2:L$1094)))/SQRT(AI20)</f>
        <v>0.10167263278867016</v>
      </c>
      <c r="AN20" s="15">
        <f t="shared" si="15"/>
        <v>0.10438961758776907</v>
      </c>
      <c r="AO20" s="16">
        <f t="array" ref="AO20">AVERAGE(IF($D$2:$D$1094=$AC20,IF($E$2:$E$1094=$AD20,IF(ISNUMBER($AA$2:$AA$1094)=TRUE,10^($AA$2:$AA$1094*1.66956+1.732077)))))</f>
        <v>53.038265771959367</v>
      </c>
      <c r="AP20" s="17">
        <f t="array" ref="AP20">AVERAGE(IF($D$2:$D$1094=$AC20,IF($E$2:$E$1094=$AD20,IF(ISNUMBER($AA$2:$AA$1094)=TRUE,LN(100*10^($AA$2:$AA$1094*1.66956+1.732077))))))</f>
        <v>8.5011792730372608</v>
      </c>
      <c r="AQ20" s="17">
        <v>8.1250733051072306</v>
      </c>
      <c r="AR20" s="19">
        <v>8.8803835210170501</v>
      </c>
      <c r="AS20" s="16">
        <f t="array" ref="AS20">AVERAGE(IF($D$2:$D$1094=$AC20,IF($E$2:$E$1094=$AD20,IF(ISNUMBER($Z$2:$Z$1094)=TRUE,10^($Z$2:$Z$1094*1.66956+1.732077)))))</f>
        <v>58.77840100353221</v>
      </c>
      <c r="AT20" s="17">
        <f t="array" ref="AT20">AVERAGE(IF($D$2:$D$1094=$AC20,IF($E$2:$E$1094=$AD20,IF(ISNUMBER($Z$2:$Z$1094)=TRUE,LN(100*10^($Z$2:$Z$1094*1.66956+1.732077))))))</f>
        <v>8.5966094941277973</v>
      </c>
      <c r="AU20" s="17">
        <v>8.2173283198734204</v>
      </c>
      <c r="AV20" s="17">
        <v>8.9745504640773603</v>
      </c>
      <c r="AW20" s="12">
        <f t="array" ref="AW20">AVERAGE(IF($D$2:$D$1094=$AC20,IF($E$2:$E$1094=$AD20,IF(ISNUMBER($AA$2:$AA$1094)=TRUE,10^($AA$2:$AA$1094*2.04+1.96)))))</f>
        <v>90.838214359439419</v>
      </c>
      <c r="AX20" s="13">
        <f t="array" ref="AX20">AVERAGE(IF($D$2:$D$1094=$AC20,IF($E$2:$E$1094=$AD20,IF(ISNUMBER($AA$2:$AA$1094)=TRUE,LN(100*10^($AA$2:$AA$1094*2.04+1.96))))))</f>
        <v>9.0055240319977035</v>
      </c>
      <c r="AY20" s="13">
        <v>8.5512142522713006</v>
      </c>
      <c r="AZ20" s="18">
        <v>9.4779042355894596</v>
      </c>
      <c r="BA20" s="12">
        <f t="array" ref="BA20">AVERAGE(IF($D$2:$D$1094=$AC20,IF($E$2:$E$1094=$AD20,IF(ISNUMBER($Z$2:$Z$1094)=TRUE,10^($Z$2:$Z$1094*2.04+1.96)))))</f>
        <v>103.36877158996894</v>
      </c>
      <c r="BB20" s="13">
        <f t="array" ref="BB20">AVERAGE(IF($D$2:$D$1094=$AC20,IF($E$2:$E$1094=$AD20,IF(ISNUMBER($Z$2:$Z$1094)=TRUE,LN(100*10^($Z$2:$Z$1094*2.04+1.96))))))</f>
        <v>9.1221281977807216</v>
      </c>
      <c r="BC20" s="13">
        <v>8.6630986504503298</v>
      </c>
      <c r="BD20" s="13">
        <v>9.5992826815360708</v>
      </c>
      <c r="BE20" s="8"/>
      <c r="BF20" s="17">
        <f t="shared" si="13"/>
        <v>9.5430221090536449E-2</v>
      </c>
      <c r="BG20" s="13">
        <f t="shared" si="14"/>
        <v>0.11660416578301813</v>
      </c>
    </row>
    <row r="21" spans="1:59" x14ac:dyDescent="0.25">
      <c r="A21" s="6" t="str">
        <f t="shared" si="0"/>
        <v>fragment</v>
      </c>
      <c r="B21" s="6" t="s">
        <v>18</v>
      </c>
      <c r="C21" s="6" t="str">
        <f t="shared" si="1"/>
        <v>FU29 436</v>
      </c>
      <c r="D21" s="6" t="s">
        <v>17</v>
      </c>
      <c r="E21" s="20">
        <v>436</v>
      </c>
      <c r="F21" s="6" t="s">
        <v>24</v>
      </c>
      <c r="G21" s="6" t="s">
        <v>28</v>
      </c>
      <c r="H21" s="6" t="s">
        <v>974</v>
      </c>
      <c r="I21" s="6" t="s">
        <v>20</v>
      </c>
      <c r="J21" s="29"/>
      <c r="K21" s="8" t="str">
        <f t="shared" si="2"/>
        <v/>
      </c>
      <c r="L21" s="8" t="str">
        <f t="shared" si="3"/>
        <v/>
      </c>
      <c r="M21" s="8"/>
      <c r="N21" s="8"/>
      <c r="O21" s="8">
        <v>4.66</v>
      </c>
      <c r="P21" s="8">
        <f>0.903 + 1.715 + 1.875 + 1.285 + 0.45</f>
        <v>6.2280000000000006</v>
      </c>
      <c r="Q21" s="8"/>
      <c r="R21" s="8"/>
      <c r="S21" s="8">
        <v>8.6300000000000008</v>
      </c>
      <c r="T21" s="8">
        <f>1.098 + 2.024 + 2.284 + 2.661 + 1.224</f>
        <v>9.2910000000000004</v>
      </c>
      <c r="U21" s="8"/>
      <c r="V21" s="8">
        <f t="shared" si="16"/>
        <v>1.336480686695279</v>
      </c>
      <c r="W21" s="8"/>
      <c r="X21" s="8">
        <f t="shared" si="17"/>
        <v>1.076593279258401</v>
      </c>
      <c r="Y21" s="31">
        <f t="shared" si="4"/>
        <v>-8.1540638517165559E-2</v>
      </c>
      <c r="Z21" s="31">
        <f t="shared" si="5"/>
        <v>-8.1540638517165559E-2</v>
      </c>
      <c r="AA21" s="31" t="str">
        <f t="shared" si="6"/>
        <v/>
      </c>
      <c r="AB21" s="36"/>
      <c r="AC21" s="2" t="s">
        <v>486</v>
      </c>
      <c r="AD21" s="2">
        <v>428</v>
      </c>
      <c r="AE21" s="2" t="str">
        <f t="shared" si="7"/>
        <v>HC2 428</v>
      </c>
      <c r="AF21" s="2" t="s">
        <v>20</v>
      </c>
      <c r="AG21" s="2" t="s">
        <v>979</v>
      </c>
      <c r="AH21" s="2">
        <f t="shared" si="8"/>
        <v>8</v>
      </c>
      <c r="AI21" s="2">
        <f t="shared" si="9"/>
        <v>3</v>
      </c>
      <c r="AJ21" s="2">
        <f t="shared" si="10"/>
        <v>5</v>
      </c>
      <c r="AK21" s="14">
        <f t="shared" si="11"/>
        <v>31.456999999999994</v>
      </c>
      <c r="AL21" s="15">
        <f t="shared" si="12"/>
        <v>8.0471040844424291</v>
      </c>
      <c r="AM21" s="15">
        <f t="array" ref="AM21">STDEV(IF(C$2:C$1094=AE21,IF(L$2:L$1094&gt;0,L$2:L$1094)))/SQRT(AI21)</f>
        <v>8.2345055929634259E-2</v>
      </c>
      <c r="AN21" s="15">
        <f t="shared" si="15"/>
        <v>8.5677162873168802E-2</v>
      </c>
      <c r="AO21" s="16">
        <f t="array" ref="AO21">AVERAGE(IF($D$2:$D$1094=$AC21,IF($E$2:$E$1094=$AD21,IF(ISNUMBER($AA$2:$AA$1094)=TRUE,10^($AA$2:$AA$1094*1.66956+1.732077)))))</f>
        <v>36.716755029094841</v>
      </c>
      <c r="AP21" s="17">
        <f t="array" ref="AP21">AVERAGE(IF($D$2:$D$1094=$AC21,IF($E$2:$E$1094=$AD21,IF(ISNUMBER($AA$2:$AA$1094)=TRUE,LN(100*10^($AA$2:$AA$1094*1.66956+1.732077))))))</f>
        <v>8.1650612738048007</v>
      </c>
      <c r="AQ21" s="17">
        <v>7.7352321024347797</v>
      </c>
      <c r="AR21" s="19">
        <v>8.5916642067460707</v>
      </c>
      <c r="AS21" s="16">
        <f t="array" ref="AS21">AVERAGE(IF($D$2:$D$1094=$AC21,IF($E$2:$E$1094=$AD21,IF(ISNUMBER($Z$2:$Z$1094)=TRUE,10^($Z$2:$Z$1094*1.66956+1.732077)))))</f>
        <v>51.954608789050873</v>
      </c>
      <c r="AT21" s="17">
        <f t="array" ref="AT21">AVERAGE(IF($D$2:$D$1094=$AC21,IF($E$2:$E$1094=$AD21,IF(ISNUMBER($Z$2:$Z$1094)=TRUE,LN(100*10^($Z$2:$Z$1094*1.66956+1.732077))))))</f>
        <v>8.4268160125572518</v>
      </c>
      <c r="AU21" s="17">
        <v>7.9857136111658598</v>
      </c>
      <c r="AV21" s="17">
        <v>8.8716765058514095</v>
      </c>
      <c r="AW21" s="12">
        <f t="array" ref="AW21">AVERAGE(IF($D$2:$D$1094=$AC21,IF($E$2:$E$1094=$AD21,IF(ISNUMBER($AA$2:$AA$1094)=TRUE,10^($AA$2:$AA$1094*2.04+1.96)))))</f>
        <v>57.568578102037769</v>
      </c>
      <c r="AX21" s="13">
        <f t="array" ref="AX21">AVERAGE(IF($D$2:$D$1094=$AC21,IF($E$2:$E$1094=$AD21,IF(ISNUMBER($AA$2:$AA$1094)=TRUE,LN(100*10^($AA$2:$AA$1094*2.04+1.96))))))</f>
        <v>8.5948285682622156</v>
      </c>
      <c r="AY21" s="13">
        <v>8.0797089791195695</v>
      </c>
      <c r="AZ21" s="18">
        <v>9.1226114266018303</v>
      </c>
      <c r="BA21" s="12">
        <f t="array" ref="BA21">AVERAGE(IF($D$2:$D$1094=$AC21,IF($E$2:$E$1094=$AD21,IF(ISNUMBER($Z$2:$Z$1094)=TRUE,10^($Z$2:$Z$1094*2.04+1.96)))))</f>
        <v>90.22753733402061</v>
      </c>
      <c r="BB21" s="13">
        <f t="array" ref="BB21">AVERAGE(IF($D$2:$D$1094=$AC21,IF($E$2:$E$1094=$AD21,IF(ISNUMBER($Z$2:$Z$1094)=TRUE,LN(100*10^($Z$2:$Z$1094*2.04+1.96))))))</f>
        <v>8.9146611391521517</v>
      </c>
      <c r="BC21" s="13">
        <v>8.3766084342794809</v>
      </c>
      <c r="BD21" s="13">
        <v>9.4681809735033102</v>
      </c>
      <c r="BE21" s="8"/>
      <c r="BF21" s="17">
        <f t="shared" si="13"/>
        <v>0.26175473875245103</v>
      </c>
      <c r="BG21" s="13">
        <f t="shared" si="14"/>
        <v>0.31983257088993611</v>
      </c>
    </row>
    <row r="22" spans="1:59" x14ac:dyDescent="0.25">
      <c r="A22" s="6" t="str">
        <f t="shared" si="0"/>
        <v>complete</v>
      </c>
      <c r="B22" s="6" t="s">
        <v>18</v>
      </c>
      <c r="C22" s="6" t="str">
        <f t="shared" si="1"/>
        <v>FU29 436</v>
      </c>
      <c r="D22" s="6" t="s">
        <v>17</v>
      </c>
      <c r="E22" s="20">
        <v>436</v>
      </c>
      <c r="F22" s="6" t="s">
        <v>24</v>
      </c>
      <c r="G22" s="6" t="s">
        <v>29</v>
      </c>
      <c r="H22" s="6" t="s">
        <v>974</v>
      </c>
      <c r="I22" s="6" t="s">
        <v>20</v>
      </c>
      <c r="J22" s="29">
        <v>68.997</v>
      </c>
      <c r="K22" s="8">
        <f t="shared" si="2"/>
        <v>1.8388302079579788</v>
      </c>
      <c r="L22" s="8">
        <f t="shared" si="3"/>
        <v>8.8392332113792733</v>
      </c>
      <c r="M22" s="8"/>
      <c r="N22" s="8"/>
      <c r="O22" s="8">
        <v>13.29</v>
      </c>
      <c r="P22" s="8">
        <f>1.55+3.14+4.614+0.639</f>
        <v>9.9429999999999996</v>
      </c>
      <c r="Q22" s="8"/>
      <c r="R22" s="8"/>
      <c r="S22" s="8">
        <v>15.975</v>
      </c>
      <c r="T22" s="8">
        <f>2.096+3.935+5.426+0.468+2.323</f>
        <v>14.248000000000001</v>
      </c>
      <c r="U22" s="8"/>
      <c r="V22" s="8">
        <f t="shared" si="16"/>
        <v>0.74815650865312266</v>
      </c>
      <c r="W22" s="8"/>
      <c r="X22" s="8">
        <f t="shared" si="17"/>
        <v>0.89189358372456973</v>
      </c>
      <c r="Y22" s="31">
        <f t="shared" si="4"/>
        <v>8.6172882670562209E-2</v>
      </c>
      <c r="Z22" s="31" t="str">
        <f t="shared" si="5"/>
        <v/>
      </c>
      <c r="AA22" s="31">
        <f t="shared" si="6"/>
        <v>8.6172882670562209E-2</v>
      </c>
      <c r="AB22" s="36"/>
      <c r="AC22" s="2" t="s">
        <v>486</v>
      </c>
      <c r="AD22" s="2">
        <v>900</v>
      </c>
      <c r="AE22" s="2" t="str">
        <f t="shared" si="7"/>
        <v>HC2 900</v>
      </c>
      <c r="AF22" s="2" t="s">
        <v>20</v>
      </c>
      <c r="AG22" s="2" t="s">
        <v>977</v>
      </c>
      <c r="AH22" s="2">
        <f t="shared" si="8"/>
        <v>24</v>
      </c>
      <c r="AI22" s="2">
        <f t="shared" si="9"/>
        <v>8</v>
      </c>
      <c r="AJ22" s="2">
        <f t="shared" si="10"/>
        <v>16</v>
      </c>
      <c r="AK22" s="14">
        <f t="shared" si="11"/>
        <v>36.068249999999999</v>
      </c>
      <c r="AL22" s="15">
        <f t="shared" si="12"/>
        <v>7.9910701877485959</v>
      </c>
      <c r="AM22" s="15">
        <f t="array" ref="AM22">STDEV(IF(C$2:C$1094=AE22,IF(L$2:L$1094&gt;0,L$2:L$1094)))/SQRT(AI22)</f>
        <v>0.27333748526041302</v>
      </c>
      <c r="AN22" s="15">
        <f t="shared" si="15"/>
        <v>0.27435970704611018</v>
      </c>
      <c r="AO22" s="16">
        <f t="array" ref="AO22">AVERAGE(IF($D$2:$D$1094=$AC22,IF($E$2:$E$1094=$AD22,IF(ISNUMBER($AA$2:$AA$1094)=TRUE,10^($AA$2:$AA$1094*1.66956+1.732077)))))</f>
        <v>44.170345393933204</v>
      </c>
      <c r="AP22" s="17">
        <f t="array" ref="AP22">AVERAGE(IF($D$2:$D$1094=$AC22,IF($E$2:$E$1094=$AD22,IF(ISNUMBER($AA$2:$AA$1094)=TRUE,LN(100*10^($AA$2:$AA$1094*1.66956+1.732077))))))</f>
        <v>8.2737058424187193</v>
      </c>
      <c r="AQ22" s="17">
        <v>7.86135300875062</v>
      </c>
      <c r="AR22" s="19">
        <v>8.6859962666513901</v>
      </c>
      <c r="AS22" s="16">
        <f t="array" ref="AS22">AVERAGE(IF($D$2:$D$1094=$AC22,IF($E$2:$E$1094=$AD22,IF(ISNUMBER($Z$2:$Z$1094)=TRUE,10^($Z$2:$Z$1094*1.66956+1.732077)))))</f>
        <v>37.701080191944996</v>
      </c>
      <c r="AT22" s="17">
        <f t="array" ref="AT22">AVERAGE(IF($D$2:$D$1094=$AC22,IF($E$2:$E$1094=$AD22,IF(ISNUMBER($Z$2:$Z$1094)=TRUE,LN(100*10^($Z$2:$Z$1094*1.66956+1.732077))))))</f>
        <v>8.0483497735481908</v>
      </c>
      <c r="AU22" s="17">
        <v>7.6413712665537696</v>
      </c>
      <c r="AV22" s="17">
        <v>8.4513451609922701</v>
      </c>
      <c r="AW22" s="12">
        <f t="array" ref="AW22">AVERAGE(IF($D$2:$D$1094=$AC22,IF($E$2:$E$1094=$AD22,IF(ISNUMBER($AA$2:$AA$1094)=TRUE,10^($AA$2:$AA$1094*2.04+1.96)))))</f>
        <v>73.593498797690359</v>
      </c>
      <c r="AX22" s="13">
        <f t="array" ref="AX22">AVERAGE(IF($D$2:$D$1094=$AC22,IF($E$2:$E$1094=$AD22,IF(ISNUMBER($AA$2:$AA$1094)=TRUE,LN(100*10^($AA$2:$AA$1094*2.04+1.96))))))</f>
        <v>8.7275790653826508</v>
      </c>
      <c r="AY22" s="13">
        <v>8.2255557895803193</v>
      </c>
      <c r="AZ22" s="18">
        <v>9.2445568165689505</v>
      </c>
      <c r="BA22" s="12">
        <f t="array" ref="BA22">AVERAGE(IF($D$2:$D$1094=$AC22,IF($E$2:$E$1094=$AD22,IF(ISNUMBER($Z$2:$Z$1094)=TRUE,10^($Z$2:$Z$1094*2.04+1.96)))))</f>
        <v>61.392524316171119</v>
      </c>
      <c r="BB22" s="13">
        <f t="array" ref="BB22">AVERAGE(IF($D$2:$D$1094=$AC22,IF($E$2:$E$1094=$AD22,IF(ISNUMBER($Z$2:$Z$1094)=TRUE,LN(100*10^($Z$2:$Z$1094*2.04+1.96))))))</f>
        <v>8.4522212582383283</v>
      </c>
      <c r="BC22" s="13">
        <v>7.9569792484187403</v>
      </c>
      <c r="BD22" s="13">
        <v>8.9615204233134094</v>
      </c>
      <c r="BE22" s="8"/>
      <c r="BF22" s="17">
        <f t="shared" si="13"/>
        <v>-0.2253560688705285</v>
      </c>
      <c r="BG22" s="13">
        <f t="shared" si="14"/>
        <v>-0.27535780714432256</v>
      </c>
    </row>
    <row r="23" spans="1:59" x14ac:dyDescent="0.25">
      <c r="A23" s="6" t="str">
        <f t="shared" si="0"/>
        <v>complete</v>
      </c>
      <c r="B23" s="6" t="s">
        <v>18</v>
      </c>
      <c r="C23" s="6" t="str">
        <f t="shared" si="1"/>
        <v>FU29 436</v>
      </c>
      <c r="D23" s="6" t="s">
        <v>17</v>
      </c>
      <c r="E23" s="20">
        <v>436</v>
      </c>
      <c r="F23" s="6" t="s">
        <v>24</v>
      </c>
      <c r="G23" s="6" t="s">
        <v>30</v>
      </c>
      <c r="H23" s="6" t="s">
        <v>974</v>
      </c>
      <c r="I23" s="6" t="s">
        <v>20</v>
      </c>
      <c r="J23" s="29">
        <v>83.638999999999996</v>
      </c>
      <c r="K23" s="8">
        <f t="shared" si="2"/>
        <v>1.9224088316889372</v>
      </c>
      <c r="L23" s="8">
        <f t="shared" si="3"/>
        <v>9.0316801044751376</v>
      </c>
      <c r="M23" s="8"/>
      <c r="N23" s="8"/>
      <c r="O23" s="8">
        <v>11.544</v>
      </c>
      <c r="P23" s="8">
        <f>1.019+2.352+2.426+3.422+2.114</f>
        <v>11.332999999999998</v>
      </c>
      <c r="Q23" s="8"/>
      <c r="R23" s="8"/>
      <c r="S23" s="8">
        <v>15.039</v>
      </c>
      <c r="T23" s="8">
        <f>1.656+3.057+3.381+3.086+0.938</f>
        <v>12.118</v>
      </c>
      <c r="U23" s="8"/>
      <c r="V23" s="8">
        <f t="shared" si="16"/>
        <v>0.98172210672210658</v>
      </c>
      <c r="W23" s="8"/>
      <c r="X23" s="8">
        <f t="shared" si="17"/>
        <v>0.80577166034975733</v>
      </c>
      <c r="Y23" s="31">
        <f t="shared" si="4"/>
        <v>4.8785459557864459E-2</v>
      </c>
      <c r="Z23" s="31" t="str">
        <f t="shared" si="5"/>
        <v/>
      </c>
      <c r="AA23" s="31">
        <f t="shared" si="6"/>
        <v>4.8785459557864459E-2</v>
      </c>
      <c r="AB23" s="36"/>
      <c r="AC23" s="2" t="s">
        <v>546</v>
      </c>
      <c r="AD23" s="2">
        <v>567</v>
      </c>
      <c r="AE23" s="2" t="str">
        <f t="shared" si="7"/>
        <v>HC212 567</v>
      </c>
      <c r="AF23" s="2" t="s">
        <v>5</v>
      </c>
      <c r="AG23" s="2" t="s">
        <v>977</v>
      </c>
      <c r="AH23" s="2">
        <f t="shared" si="8"/>
        <v>8</v>
      </c>
      <c r="AI23" s="2">
        <f t="shared" si="9"/>
        <v>4</v>
      </c>
      <c r="AJ23" s="2">
        <f t="shared" si="10"/>
        <v>4</v>
      </c>
      <c r="AK23" s="14">
        <f t="shared" si="11"/>
        <v>12.80668</v>
      </c>
      <c r="AL23" s="15">
        <f t="shared" si="12"/>
        <v>7.0230297964587862</v>
      </c>
      <c r="AM23" s="15">
        <f t="array" ref="AM23">STDEV(IF(C$2:C$1094=AE23,IF(L$2:L$1094&gt;0,L$2:L$1094)))/SQRT(AI23)</f>
        <v>0.31813392569595844</v>
      </c>
      <c r="AN23" s="15">
        <f t="shared" si="15"/>
        <v>0.31901263718019462</v>
      </c>
      <c r="AO23" s="16">
        <f t="array" ref="AO23">AVERAGE(IF($D$2:$D$1094=$AC23,IF($E$2:$E$1094=$AD23,IF(ISNUMBER($AA$2:$AA$1094)=TRUE,10^($AA$2:$AA$1094*1.66956+1.732077)))))</f>
        <v>9.1457004989284325</v>
      </c>
      <c r="AP23" s="17">
        <f t="array" ref="AP23">AVERAGE(IF($D$2:$D$1094=$AC23,IF($E$2:$E$1094=$AD23,IF(ISNUMBER($AA$2:$AA$1094)=TRUE,LN(100*10^($AA$2:$AA$1094*1.66956+1.732077))))))</f>
        <v>6.7971553255463979</v>
      </c>
      <c r="AQ23" s="17">
        <v>6.4074025365458596</v>
      </c>
      <c r="AR23" s="19">
        <v>7.1928575297126498</v>
      </c>
      <c r="AS23" s="16">
        <f t="array" ref="AS23">AVERAGE(IF($D$2:$D$1094=$AC23,IF($E$2:$E$1094=$AD23,IF(ISNUMBER($Z$2:$Z$1094)=TRUE,10^($Z$2:$Z$1094*1.66956+1.732077)))))</f>
        <v>8.7722403483357709</v>
      </c>
      <c r="AT23" s="17">
        <f t="array" ref="AT23">AVERAGE(IF($D$2:$D$1094=$AC23,IF($E$2:$E$1094=$AD23,IF(ISNUMBER($Z$2:$Z$1094)=TRUE,LN(100*10^($Z$2:$Z$1094*1.66956+1.732077))))))</f>
        <v>6.7317434476204898</v>
      </c>
      <c r="AU23" s="17">
        <v>6.3225599786098901</v>
      </c>
      <c r="AV23" s="17">
        <v>7.1396336507385199</v>
      </c>
      <c r="AW23" s="12">
        <f t="array" ref="AW23">AVERAGE(IF($D$2:$D$1094=$AC23,IF($E$2:$E$1094=$AD23,IF(ISNUMBER($AA$2:$AA$1094)=TRUE,10^($AA$2:$AA$1094*2.04+1.96)))))</f>
        <v>10.481474855299918</v>
      </c>
      <c r="AX23" s="13">
        <f t="array" ref="AX23">AVERAGE(IF($D$2:$D$1094=$AC23,IF($E$2:$E$1094=$AD23,IF(ISNUMBER($AA$2:$AA$1094)=TRUE,LN(100*10^($AA$2:$AA$1094*2.04+1.96))))))</f>
        <v>6.923413264561157</v>
      </c>
      <c r="AY23" s="13">
        <v>6.4506362421257304</v>
      </c>
      <c r="AZ23" s="18">
        <v>7.4143269707388599</v>
      </c>
      <c r="BA23" s="12">
        <f t="array" ref="BA23">AVERAGE(IF($D$2:$D$1094=$AC23,IF($E$2:$E$1094=$AD23,IF(ISNUMBER($Z$2:$Z$1094)=TRUE,10^($Z$2:$Z$1094*2.04+1.96)))))</f>
        <v>10.028813626297199</v>
      </c>
      <c r="BB23" s="13">
        <f t="array" ref="BB23">AVERAGE(IF($D$2:$D$1094=$AC23,IF($E$2:$E$1094=$AD23,IF(ISNUMBER($Z$2:$Z$1094)=TRUE,LN(100*10^($Z$2:$Z$1094*2.04+1.96))))))</f>
        <v>6.8434878764536</v>
      </c>
      <c r="BC23" s="13">
        <v>6.3490835348036496</v>
      </c>
      <c r="BD23" s="13">
        <v>7.3532668164928197</v>
      </c>
      <c r="BE23" s="8"/>
      <c r="BF23" s="17">
        <f t="shared" si="13"/>
        <v>-6.541187792590808E-2</v>
      </c>
      <c r="BG23" s="13">
        <f t="shared" si="14"/>
        <v>-7.9925388107557005E-2</v>
      </c>
    </row>
    <row r="24" spans="1:59" x14ac:dyDescent="0.25">
      <c r="A24" s="6" t="str">
        <f t="shared" si="0"/>
        <v>complete</v>
      </c>
      <c r="B24" s="6" t="s">
        <v>18</v>
      </c>
      <c r="C24" s="6" t="str">
        <f t="shared" si="1"/>
        <v>FU29 436</v>
      </c>
      <c r="D24" s="6" t="s">
        <v>17</v>
      </c>
      <c r="E24" s="20">
        <v>436</v>
      </c>
      <c r="F24" s="6" t="s">
        <v>24</v>
      </c>
      <c r="G24" s="6" t="s">
        <v>31</v>
      </c>
      <c r="H24" s="6" t="s">
        <v>974</v>
      </c>
      <c r="I24" s="6" t="s">
        <v>20</v>
      </c>
      <c r="J24" s="29">
        <v>25.53</v>
      </c>
      <c r="K24" s="8">
        <f t="shared" si="2"/>
        <v>1.4070508148042504</v>
      </c>
      <c r="L24" s="8">
        <f t="shared" si="3"/>
        <v>7.8450244172414836</v>
      </c>
      <c r="M24" s="8"/>
      <c r="N24" s="8"/>
      <c r="O24" s="8"/>
      <c r="P24" s="8"/>
      <c r="Q24" s="8">
        <v>1.1399999999999999</v>
      </c>
      <c r="R24" s="8">
        <f>0.669+0.697+0.743</f>
        <v>2.109</v>
      </c>
      <c r="S24" s="8">
        <v>4.3259999999999996</v>
      </c>
      <c r="T24" s="8">
        <f>0.775+1.393+1.678+2.196+0.614</f>
        <v>6.6559999999999997</v>
      </c>
      <c r="U24" s="8"/>
      <c r="V24" s="8"/>
      <c r="W24" s="8">
        <f>R24/Q24</f>
        <v>1.85</v>
      </c>
      <c r="X24" s="8">
        <f t="shared" si="17"/>
        <v>1.5386037910309756</v>
      </c>
      <c r="Y24" s="31">
        <f t="shared" si="4"/>
        <v>-0.22899079671185424</v>
      </c>
      <c r="Z24" s="31" t="str">
        <f t="shared" si="5"/>
        <v/>
      </c>
      <c r="AA24" s="31">
        <f t="shared" si="6"/>
        <v>-0.22899079671185424</v>
      </c>
      <c r="AB24" s="36"/>
      <c r="AC24" s="2" t="s">
        <v>567</v>
      </c>
      <c r="AD24" s="2">
        <v>2203</v>
      </c>
      <c r="AE24" s="2" t="str">
        <f t="shared" si="7"/>
        <v>HC224 2203</v>
      </c>
      <c r="AF24" s="2" t="s">
        <v>20</v>
      </c>
      <c r="AG24" s="2" t="s">
        <v>977</v>
      </c>
      <c r="AH24" s="2">
        <f t="shared" si="8"/>
        <v>13</v>
      </c>
      <c r="AI24" s="2">
        <f t="shared" si="9"/>
        <v>8</v>
      </c>
      <c r="AJ24" s="2">
        <f t="shared" si="10"/>
        <v>5</v>
      </c>
      <c r="AK24" s="14">
        <f t="shared" si="11"/>
        <v>4.7563037500000007</v>
      </c>
      <c r="AL24" s="15">
        <f t="shared" si="12"/>
        <v>5.683478846571937</v>
      </c>
      <c r="AM24" s="15">
        <f t="array" ref="AM24">STDEV(IF(C$2:C$1094=AE24,IF(L$2:L$1094&gt;0,L$2:L$1094)))/SQRT(AI24)</f>
        <v>0.36029630652209055</v>
      </c>
      <c r="AN24" s="15">
        <f t="shared" si="15"/>
        <v>0.36107242555393387</v>
      </c>
      <c r="AO24" s="16">
        <f t="array" ref="AO24">AVERAGE(IF($D$2:$D$1094=$AC24,IF($E$2:$E$1094=$AD24,IF(ISNUMBER($AA$2:$AA$1094)=TRUE,10^($AA$2:$AA$1094*1.66956+1.732077)))))</f>
        <v>7.0849494551688981</v>
      </c>
      <c r="AP24" s="17">
        <f t="array" ref="AP24">AVERAGE(IF($D$2:$D$1094=$AC24,IF($E$2:$E$1094=$AD24,IF(ISNUMBER($AA$2:$AA$1094)=TRUE,LN(100*10^($AA$2:$AA$1094*1.66956+1.732077))))))</f>
        <v>6.3060357190320602</v>
      </c>
      <c r="AQ24" s="17">
        <v>5.8257516745190898</v>
      </c>
      <c r="AR24" s="19">
        <v>6.78604352917118</v>
      </c>
      <c r="AS24" s="16">
        <f t="array" ref="AS24">AVERAGE(IF($D$2:$D$1094=$AC24,IF($E$2:$E$1094=$AD24,IF(ISNUMBER($Z$2:$Z$1094)=TRUE,10^($Z$2:$Z$1094*1.66956+1.732077)))))</f>
        <v>11.202833833224647</v>
      </c>
      <c r="AT24" s="17">
        <f t="array" ref="AT24">AVERAGE(IF($D$2:$D$1094=$AC24,IF($E$2:$E$1094=$AD24,IF(ISNUMBER($Z$2:$Z$1094)=TRUE,LN(100*10^($Z$2:$Z$1094*1.66956+1.732077))))))</f>
        <v>6.9599063717334131</v>
      </c>
      <c r="AU24" s="17">
        <v>6.54822815760369</v>
      </c>
      <c r="AV24" s="17">
        <v>7.3731500964539203</v>
      </c>
      <c r="AW24" s="12">
        <f t="array" ref="AW24">AVERAGE(IF($D$2:$D$1094=$AC24,IF($E$2:$E$1094=$AD24,IF(ISNUMBER($AA$2:$AA$1094)=TRUE,10^($AA$2:$AA$1094*2.04+1.96)))))</f>
        <v>8.0285099037689012</v>
      </c>
      <c r="AX24" s="13">
        <f t="array" ref="AX24">AVERAGE(IF($D$2:$D$1094=$AC24,IF($E$2:$E$1094=$AD24,IF(ISNUMBER($AA$2:$AA$1094)=TRUE,LN(100*10^($AA$2:$AA$1094*2.04+1.96))))))</f>
        <v>6.3233246200744357</v>
      </c>
      <c r="AY24" s="13">
        <v>5.7387940372612798</v>
      </c>
      <c r="AZ24" s="18">
        <v>6.9141306151537796</v>
      </c>
      <c r="BA24" s="12">
        <f t="array" ref="BA24">AVERAGE(IF($D$2:$D$1094=$AC24,IF($E$2:$E$1094=$AD24,IF(ISNUMBER($Z$2:$Z$1094)=TRUE,10^($Z$2:$Z$1094*2.04+1.96)))))</f>
        <v>13.561130269828741</v>
      </c>
      <c r="BB24" s="13">
        <f t="array" ref="BB24">AVERAGE(IF($D$2:$D$1094=$AC24,IF($E$2:$E$1094=$AD24,IF(ISNUMBER($Z$2:$Z$1094)=TRUE,LN(100*10^($Z$2:$Z$1094*2.04+1.96))))))</f>
        <v>7.1222753205648432</v>
      </c>
      <c r="BC24" s="13">
        <v>6.6200988396132301</v>
      </c>
      <c r="BD24" s="13">
        <v>7.6349193234917898</v>
      </c>
      <c r="BE24" s="8"/>
      <c r="BF24" s="17">
        <f t="shared" si="13"/>
        <v>0.65387065270135292</v>
      </c>
      <c r="BG24" s="13">
        <f t="shared" si="14"/>
        <v>0.79895070049040751</v>
      </c>
    </row>
    <row r="25" spans="1:59" x14ac:dyDescent="0.25">
      <c r="A25" s="6" t="str">
        <f t="shared" si="0"/>
        <v>complete</v>
      </c>
      <c r="B25" s="6" t="s">
        <v>18</v>
      </c>
      <c r="C25" s="6" t="str">
        <f t="shared" si="1"/>
        <v>FU29 436</v>
      </c>
      <c r="D25" s="6" t="s">
        <v>17</v>
      </c>
      <c r="E25" s="20">
        <v>436</v>
      </c>
      <c r="F25" s="6" t="s">
        <v>24</v>
      </c>
      <c r="G25" s="6" t="s">
        <v>32</v>
      </c>
      <c r="H25" s="6" t="s">
        <v>974</v>
      </c>
      <c r="I25" s="6" t="s">
        <v>20</v>
      </c>
      <c r="J25" s="29">
        <v>24.861999999999998</v>
      </c>
      <c r="K25" s="8">
        <f t="shared" si="2"/>
        <v>1.3955360621184361</v>
      </c>
      <c r="L25" s="8">
        <f t="shared" si="3"/>
        <v>7.8185107193576151</v>
      </c>
      <c r="M25" s="8">
        <v>1.9079999999999999</v>
      </c>
      <c r="N25" s="8">
        <f>1.104+1.92+0.696</f>
        <v>3.7199999999999998</v>
      </c>
      <c r="O25" s="8"/>
      <c r="P25" s="8"/>
      <c r="Q25" s="8"/>
      <c r="R25" s="8"/>
      <c r="S25" s="8">
        <v>4.3849999999999998</v>
      </c>
      <c r="T25" s="8">
        <f>1.113+2.289+2.552+0.303+0.825</f>
        <v>7.0820000000000007</v>
      </c>
      <c r="U25" s="8">
        <f>N25/M25</f>
        <v>1.949685534591195</v>
      </c>
      <c r="V25" s="8"/>
      <c r="W25" s="8"/>
      <c r="X25" s="8">
        <f t="shared" si="17"/>
        <v>1.6150513112884837</v>
      </c>
      <c r="Y25" s="31">
        <f t="shared" si="4"/>
        <v>-0.25099747944939088</v>
      </c>
      <c r="Z25" s="31" t="str">
        <f t="shared" si="5"/>
        <v/>
      </c>
      <c r="AA25" s="31">
        <f t="shared" si="6"/>
        <v>-0.25099747944939088</v>
      </c>
      <c r="AB25" s="36"/>
      <c r="AC25" s="2" t="s">
        <v>583</v>
      </c>
      <c r="AD25" s="2">
        <v>2203</v>
      </c>
      <c r="AE25" s="2" t="str">
        <f t="shared" si="7"/>
        <v>HC229 2203</v>
      </c>
      <c r="AF25" s="2" t="s">
        <v>5</v>
      </c>
      <c r="AG25" s="2" t="s">
        <v>977</v>
      </c>
      <c r="AH25" s="2">
        <f t="shared" si="8"/>
        <v>16</v>
      </c>
      <c r="AI25" s="2">
        <f t="shared" si="9"/>
        <v>10</v>
      </c>
      <c r="AJ25" s="2">
        <f t="shared" si="10"/>
        <v>6</v>
      </c>
      <c r="AK25" s="14">
        <f t="shared" si="11"/>
        <v>6.1432860000000007</v>
      </c>
      <c r="AL25" s="15">
        <f t="shared" si="12"/>
        <v>6.3773941542895987</v>
      </c>
      <c r="AM25" s="15">
        <f t="array" ref="AM25">STDEV(IF(C$2:C$1094=AE25,IF(L$2:L$1094&gt;0,L$2:L$1094)))/SQRT(AI25)</f>
        <v>0.10379465035489796</v>
      </c>
      <c r="AN25" s="15">
        <f t="shared" si="15"/>
        <v>0.10645749125466192</v>
      </c>
      <c r="AO25" s="16">
        <f t="array" ref="AO25">AVERAGE(IF($D$2:$D$1094=$AC25,IF($E$2:$E$1094=$AD25,IF(ISNUMBER($AA$2:$AA$1094)=TRUE,10^($AA$2:$AA$1094*1.66956+1.732077)))))</f>
        <v>22.470634661054071</v>
      </c>
      <c r="AP25" s="17">
        <f t="array" ref="AP25">AVERAGE(IF($D$2:$D$1094=$AC25,IF($E$2:$E$1094=$AD25,IF(ISNUMBER($AA$2:$AA$1094)=TRUE,LN(100*10^($AA$2:$AA$1094*1.66956+1.732077))))))</f>
        <v>7.4743366282211126</v>
      </c>
      <c r="AQ25" s="17">
        <v>7.0465061938195301</v>
      </c>
      <c r="AR25" s="19">
        <v>7.9011504438738598</v>
      </c>
      <c r="AS25" s="16">
        <f t="array" ref="AS25">AVERAGE(IF($D$2:$D$1094=$AC25,IF($E$2:$E$1094=$AD25,IF(ISNUMBER($Z$2:$Z$1094)=TRUE,10^($Z$2:$Z$1094*1.66956+1.732077)))))</f>
        <v>7.7654445660531559</v>
      </c>
      <c r="AT25" s="17">
        <f t="array" ref="AT25">AVERAGE(IF($D$2:$D$1094=$AC25,IF($E$2:$E$1094=$AD25,IF(ISNUMBER($Z$2:$Z$1094)=TRUE,LN(100*10^($Z$2:$Z$1094*1.66956+1.732077))))))</f>
        <v>6.5361555095227999</v>
      </c>
      <c r="AU25" s="17">
        <v>6.1069834137630101</v>
      </c>
      <c r="AV25" s="17">
        <v>6.9654059069101502</v>
      </c>
      <c r="AW25" s="12">
        <f t="array" ref="AW25">AVERAGE(IF($D$2:$D$1094=$AC25,IF($E$2:$E$1094=$AD25,IF(ISNUMBER($AA$2:$AA$1094)=TRUE,10^($AA$2:$AA$1094*2.04+1.96)))))</f>
        <v>33.783802578899</v>
      </c>
      <c r="AX25" s="13">
        <f t="array" ref="AX25">AVERAGE(IF($D$2:$D$1094=$AC25,IF($E$2:$E$1094=$AD25,IF(ISNUMBER($AA$2:$AA$1094)=TRUE,LN(100*10^($AA$2:$AA$1094*2.04+1.96))))))</f>
        <v>7.7508467544964788</v>
      </c>
      <c r="AY25" s="13">
        <v>7.2356002722750796</v>
      </c>
      <c r="AZ25" s="18">
        <v>8.2850659333992596</v>
      </c>
      <c r="BA25" s="12">
        <f t="array" ref="BA25">AVERAGE(IF($D$2:$D$1094=$AC25,IF($E$2:$E$1094=$AD25,IF(ISNUMBER($Z$2:$Z$1094)=TRUE,10^($Z$2:$Z$1094*2.04+1.96)))))</f>
        <v>8.8232591584661044</v>
      </c>
      <c r="BB25" s="13">
        <f t="array" ref="BB25">AVERAGE(IF($D$2:$D$1094=$AC25,IF($E$2:$E$1094=$AD25,IF(ISNUMBER($Z$2:$Z$1094)=TRUE,LN(100*10^($Z$2:$Z$1094*2.04+1.96))))))</f>
        <v>6.6045031177631133</v>
      </c>
      <c r="BC25" s="13">
        <v>6.08219272039715</v>
      </c>
      <c r="BD25" s="13">
        <v>7.1380894710188896</v>
      </c>
      <c r="BE25" s="8"/>
      <c r="BF25" s="17">
        <f t="shared" si="13"/>
        <v>-0.93818111869831267</v>
      </c>
      <c r="BG25" s="13">
        <f t="shared" si="14"/>
        <v>-1.1463436367333655</v>
      </c>
    </row>
    <row r="26" spans="1:59" x14ac:dyDescent="0.25">
      <c r="A26" s="6" t="str">
        <f t="shared" si="0"/>
        <v>fragment</v>
      </c>
      <c r="B26" s="6" t="s">
        <v>18</v>
      </c>
      <c r="C26" s="6" t="str">
        <f t="shared" si="1"/>
        <v>FU29 436</v>
      </c>
      <c r="D26" s="6" t="s">
        <v>17</v>
      </c>
      <c r="E26" s="20">
        <v>436</v>
      </c>
      <c r="F26" s="6" t="s">
        <v>24</v>
      </c>
      <c r="G26" s="6" t="s">
        <v>33</v>
      </c>
      <c r="H26" s="6" t="s">
        <v>974</v>
      </c>
      <c r="I26" s="6" t="s">
        <v>20</v>
      </c>
      <c r="J26" s="29"/>
      <c r="K26" s="8" t="str">
        <f t="shared" si="2"/>
        <v/>
      </c>
      <c r="L26" s="8" t="str">
        <f t="shared" si="3"/>
        <v/>
      </c>
      <c r="M26" s="8"/>
      <c r="N26" s="8"/>
      <c r="O26" s="8">
        <v>3.0939999999999999</v>
      </c>
      <c r="P26" s="8">
        <f>1.177 + 1.773 + 1.465 + 0.504</f>
        <v>4.9190000000000005</v>
      </c>
      <c r="Q26" s="8"/>
      <c r="R26" s="8"/>
      <c r="S26" s="8">
        <v>1.9</v>
      </c>
      <c r="T26" s="8">
        <f>1.322 + 1.177</f>
        <v>2.4990000000000001</v>
      </c>
      <c r="U26" s="8"/>
      <c r="V26" s="8">
        <f t="shared" ref="V26:V38" si="18">P26/O26</f>
        <v>1.5898513251454429</v>
      </c>
      <c r="W26" s="8"/>
      <c r="X26" s="8">
        <f t="shared" si="17"/>
        <v>1.3152631578947369</v>
      </c>
      <c r="Y26" s="31">
        <f t="shared" si="4"/>
        <v>-0.16213325582069993</v>
      </c>
      <c r="Z26" s="31">
        <f t="shared" si="5"/>
        <v>-0.16213325582069993</v>
      </c>
      <c r="AA26" s="31" t="str">
        <f t="shared" si="6"/>
        <v/>
      </c>
      <c r="AB26" s="36"/>
      <c r="AC26" s="2" t="s">
        <v>616</v>
      </c>
      <c r="AD26" s="2">
        <v>428</v>
      </c>
      <c r="AE26" s="2" t="str">
        <f t="shared" si="7"/>
        <v>HC261 428</v>
      </c>
      <c r="AF26" s="2" t="s">
        <v>20</v>
      </c>
      <c r="AG26" s="2" t="s">
        <v>979</v>
      </c>
      <c r="AH26" s="2">
        <f t="shared" si="8"/>
        <v>7</v>
      </c>
      <c r="AI26" s="2">
        <f t="shared" si="9"/>
        <v>4</v>
      </c>
      <c r="AJ26" s="2">
        <f t="shared" si="10"/>
        <v>3</v>
      </c>
      <c r="AK26" s="14">
        <f t="shared" si="11"/>
        <v>36.626262499999996</v>
      </c>
      <c r="AL26" s="15">
        <f t="shared" si="12"/>
        <v>7.9381490298046424</v>
      </c>
      <c r="AM26" s="15">
        <f t="array" ref="AM26">STDEV(IF(C$2:C$1094=AE26,IF(L$2:L$1094&gt;0,L$2:L$1094)))/SQRT(AI26)</f>
        <v>0.47800172723025436</v>
      </c>
      <c r="AN26" s="15">
        <f t="shared" si="15"/>
        <v>0.4785870027874215</v>
      </c>
      <c r="AO26" s="16">
        <f t="array" ref="AO26">AVERAGE(IF($D$2:$D$1094=$AC26,IF($E$2:$E$1094=$AD26,IF(ISNUMBER($AA$2:$AA$1094)=TRUE,10^($AA$2:$AA$1094*1.66956+1.732077)))))</f>
        <v>17.808937344839887</v>
      </c>
      <c r="AP26" s="17">
        <f t="array" ref="AP26">AVERAGE(IF($D$2:$D$1094=$AC26,IF($E$2:$E$1094=$AD26,IF(ISNUMBER($AA$2:$AA$1094)=TRUE,LN(100*10^($AA$2:$AA$1094*1.66956+1.732077))))))</f>
        <v>7.3669461418439095</v>
      </c>
      <c r="AQ26" s="17">
        <v>6.8941814718425496</v>
      </c>
      <c r="AR26" s="19">
        <v>7.8356781835726501</v>
      </c>
      <c r="AS26" s="16">
        <f t="array" ref="AS26">AVERAGE(IF($D$2:$D$1094=$AC26,IF($E$2:$E$1094=$AD26,IF(ISNUMBER($Z$2:$Z$1094)=TRUE,10^($Z$2:$Z$1094*1.66956+1.732077)))))</f>
        <v>11.132798211983937</v>
      </c>
      <c r="AT26" s="17">
        <f t="array" ref="AT26">AVERAGE(IF($D$2:$D$1094=$AC26,IF($E$2:$E$1094=$AD26,IF(ISNUMBER($Z$2:$Z$1094)=TRUE,LN(100*10^($Z$2:$Z$1094*1.66956+1.732077))))))</f>
        <v>6.9755839076106128</v>
      </c>
      <c r="AU26" s="17">
        <v>6.5536657684163302</v>
      </c>
      <c r="AV26" s="17">
        <v>7.4013154030030304</v>
      </c>
      <c r="AW26" s="12">
        <f t="array" ref="AW26">AVERAGE(IF($D$2:$D$1094=$AC26,IF($E$2:$E$1094=$AD26,IF(ISNUMBER($AA$2:$AA$1094)=TRUE,10^($AA$2:$AA$1094*2.04+1.96)))))</f>
        <v>24.205112344938343</v>
      </c>
      <c r="AX26" s="13">
        <f t="array" ref="AX26">AVERAGE(IF($D$2:$D$1094=$AC26,IF($E$2:$E$1094=$AD26,IF(ISNUMBER($AA$2:$AA$1094)=TRUE,LN(100*10^($AA$2:$AA$1094*2.04+1.96))))))</f>
        <v>7.6196285938975841</v>
      </c>
      <c r="AY26" s="13">
        <v>7.0458162270410298</v>
      </c>
      <c r="AZ26" s="18">
        <v>8.2017099145838301</v>
      </c>
      <c r="BA26" s="12">
        <f t="array" ref="BA26">AVERAGE(IF($D$2:$D$1094=$AC26,IF($E$2:$E$1094=$AD26,IF(ISNUMBER($Z$2:$Z$1094)=TRUE,10^($Z$2:$Z$1094*2.04+1.96)))))</f>
        <v>13.386974316865905</v>
      </c>
      <c r="BB26" s="13">
        <f t="array" ref="BB26">AVERAGE(IF($D$2:$D$1094=$AC26,IF($E$2:$E$1094=$AD26,IF(ISNUMBER($Z$2:$Z$1094)=TRUE,LN(100*10^($Z$2:$Z$1094*2.04+1.96))))))</f>
        <v>7.1414313695774467</v>
      </c>
      <c r="BC26" s="13">
        <v>6.6286023215408703</v>
      </c>
      <c r="BD26" s="13">
        <v>7.6689845220820203</v>
      </c>
      <c r="BE26" s="8"/>
      <c r="BF26" s="17">
        <f t="shared" si="13"/>
        <v>-0.39136223423329675</v>
      </c>
      <c r="BG26" s="13">
        <f t="shared" si="14"/>
        <v>-0.47819722432013734</v>
      </c>
    </row>
    <row r="27" spans="1:59" x14ac:dyDescent="0.25">
      <c r="A27" s="6" t="str">
        <f t="shared" si="0"/>
        <v>fragment</v>
      </c>
      <c r="B27" s="6" t="s">
        <v>18</v>
      </c>
      <c r="C27" s="6" t="str">
        <f t="shared" si="1"/>
        <v>FU29 436</v>
      </c>
      <c r="D27" s="6" t="s">
        <v>17</v>
      </c>
      <c r="E27" s="20">
        <v>436</v>
      </c>
      <c r="F27" s="6" t="s">
        <v>24</v>
      </c>
      <c r="G27" s="6" t="s">
        <v>34</v>
      </c>
      <c r="H27" s="6" t="s">
        <v>974</v>
      </c>
      <c r="I27" s="6" t="s">
        <v>20</v>
      </c>
      <c r="J27" s="29"/>
      <c r="K27" s="8" t="str">
        <f t="shared" si="2"/>
        <v/>
      </c>
      <c r="L27" s="8" t="str">
        <f t="shared" si="3"/>
        <v/>
      </c>
      <c r="M27" s="8"/>
      <c r="N27" s="8"/>
      <c r="O27" s="8">
        <v>8.7370000000000001</v>
      </c>
      <c r="P27" s="8">
        <f>1.411+2.837+3.506+1.087</f>
        <v>8.8409999999999993</v>
      </c>
      <c r="Q27" s="8"/>
      <c r="R27" s="8"/>
      <c r="S27" s="8">
        <v>9.3859999999999992</v>
      </c>
      <c r="T27" s="8">
        <f>0.689+3.13+3.273+1.867</f>
        <v>8.9589999999999996</v>
      </c>
      <c r="U27" s="8"/>
      <c r="V27" s="8">
        <f t="shared" si="18"/>
        <v>1.0119033993361566</v>
      </c>
      <c r="W27" s="8"/>
      <c r="X27" s="8">
        <f t="shared" si="17"/>
        <v>0.95450671212444071</v>
      </c>
      <c r="Y27" s="31">
        <f t="shared" si="4"/>
        <v>7.3558969339238478E-3</v>
      </c>
      <c r="Z27" s="31">
        <f t="shared" si="5"/>
        <v>7.3558969339238478E-3</v>
      </c>
      <c r="AA27" s="31" t="str">
        <f t="shared" si="6"/>
        <v/>
      </c>
      <c r="AB27" s="36"/>
      <c r="AC27" s="2" t="s">
        <v>643</v>
      </c>
      <c r="AD27" s="2">
        <v>428</v>
      </c>
      <c r="AE27" s="2" t="str">
        <f t="shared" si="7"/>
        <v>HC280 428</v>
      </c>
      <c r="AF27" s="2" t="s">
        <v>20</v>
      </c>
      <c r="AG27" s="2" t="s">
        <v>979</v>
      </c>
      <c r="AH27" s="2">
        <f t="shared" si="8"/>
        <v>24</v>
      </c>
      <c r="AI27" s="2">
        <f t="shared" si="9"/>
        <v>8</v>
      </c>
      <c r="AJ27" s="2">
        <f t="shared" si="10"/>
        <v>16</v>
      </c>
      <c r="AK27" s="14">
        <f t="shared" si="11"/>
        <v>87.556676249999995</v>
      </c>
      <c r="AL27" s="15">
        <f t="shared" si="12"/>
        <v>9.0532487600367411</v>
      </c>
      <c r="AM27" s="15">
        <f t="array" ref="AM27">STDEV(IF(C$2:C$1094=AE27,IF(L$2:L$1094&gt;0,L$2:L$1094)))/SQRT(AI27)</f>
        <v>8.4993514449433455E-2</v>
      </c>
      <c r="AN27" s="15">
        <f t="shared" si="15"/>
        <v>8.8225651034191596E-2</v>
      </c>
      <c r="AO27" s="16">
        <f t="array" ref="AO27">AVERAGE(IF($D$2:$D$1094=$AC27,IF($E$2:$E$1094=$AD27,IF(ISNUMBER($AA$2:$AA$1094)=TRUE,10^($AA$2:$AA$1094*1.66956+1.732077)))))</f>
        <v>67.320796611299755</v>
      </c>
      <c r="AP27" s="17">
        <f t="array" ref="AP27">AVERAGE(IF($D$2:$D$1094=$AC27,IF($E$2:$E$1094=$AD27,IF(ISNUMBER($AA$2:$AA$1094)=TRUE,LN(100*10^($AA$2:$AA$1094*1.66956+1.732077))))))</f>
        <v>8.7789228963654757</v>
      </c>
      <c r="AQ27" s="17">
        <v>8.3963504532379591</v>
      </c>
      <c r="AR27" s="19">
        <v>9.1605646245523999</v>
      </c>
      <c r="AS27" s="16">
        <f t="array" ref="AS27">AVERAGE(IF($D$2:$D$1094=$AC27,IF($E$2:$E$1094=$AD27,IF(ISNUMBER($Z$2:$Z$1094)=TRUE,10^($Z$2:$Z$1094*1.66956+1.732077)))))</f>
        <v>80.845458534900615</v>
      </c>
      <c r="AT27" s="17">
        <f t="array" ref="AT27">AVERAGE(IF($D$2:$D$1094=$AC27,IF($E$2:$E$1094=$AD27,IF(ISNUMBER($Z$2:$Z$1094)=TRUE,LN(100*10^($Z$2:$Z$1094*1.66956+1.732077))))))</f>
        <v>8.9228917142133302</v>
      </c>
      <c r="AU27" s="17">
        <v>8.5458201322923504</v>
      </c>
      <c r="AV27" s="17">
        <v>9.3071265800067593</v>
      </c>
      <c r="AW27" s="12">
        <f t="array" ref="AW27">AVERAGE(IF($D$2:$D$1094=$AC27,IF($E$2:$E$1094=$AD27,IF(ISNUMBER($AA$2:$AA$1094)=TRUE,10^($AA$2:$AA$1094*2.04+1.96)))))</f>
        <v>120.59136480698196</v>
      </c>
      <c r="AX27" s="13">
        <f t="array" ref="AX27">AVERAGE(IF($D$2:$D$1094=$AC27,IF($E$2:$E$1094=$AD27,IF(ISNUMBER($AA$2:$AA$1094)=TRUE,LN(100*10^($AA$2:$AA$1094*2.04+1.96))))))</f>
        <v>9.3448930822801497</v>
      </c>
      <c r="AY27" s="13">
        <v>8.8824462472522896</v>
      </c>
      <c r="AZ27" s="18">
        <v>9.8259673647693493</v>
      </c>
      <c r="BA27" s="12">
        <f t="array" ref="BA27">AVERAGE(IF($D$2:$D$1094=$AC27,IF($E$2:$E$1094=$AD27,IF(ISNUMBER($Z$2:$Z$1094)=TRUE,10^($Z$2:$Z$1094*2.04+1.96)))))</f>
        <v>152.45246146111842</v>
      </c>
      <c r="BB27" s="13">
        <f t="array" ref="BB27">AVERAGE(IF($D$2:$D$1094=$AC27,IF($E$2:$E$1094=$AD27,IF(ISNUMBER($Z$2:$Z$1094)=TRUE,LN(100*10^($Z$2:$Z$1094*2.04+1.96))))))</f>
        <v>9.520805531314398</v>
      </c>
      <c r="BC27" s="13">
        <v>9.0631165192225893</v>
      </c>
      <c r="BD27" s="13">
        <v>9.9990196232586293</v>
      </c>
      <c r="BE27" s="8"/>
      <c r="BF27" s="17">
        <f t="shared" si="13"/>
        <v>0.14396881784785442</v>
      </c>
      <c r="BG27" s="13">
        <f t="shared" si="14"/>
        <v>0.1759124490342483</v>
      </c>
    </row>
    <row r="28" spans="1:59" x14ac:dyDescent="0.25">
      <c r="A28" s="6" t="str">
        <f t="shared" si="0"/>
        <v>fragment</v>
      </c>
      <c r="B28" s="6" t="s">
        <v>18</v>
      </c>
      <c r="C28" s="6" t="str">
        <f t="shared" si="1"/>
        <v>FU29 436</v>
      </c>
      <c r="D28" s="6" t="s">
        <v>17</v>
      </c>
      <c r="E28" s="20">
        <v>436</v>
      </c>
      <c r="F28" s="6" t="s">
        <v>24</v>
      </c>
      <c r="G28" s="6" t="s">
        <v>35</v>
      </c>
      <c r="H28" s="6" t="s">
        <v>974</v>
      </c>
      <c r="I28" s="6" t="s">
        <v>20</v>
      </c>
      <c r="J28" s="29"/>
      <c r="K28" s="8" t="str">
        <f t="shared" si="2"/>
        <v/>
      </c>
      <c r="L28" s="8" t="str">
        <f t="shared" si="3"/>
        <v/>
      </c>
      <c r="M28" s="8"/>
      <c r="N28" s="8"/>
      <c r="O28" s="8">
        <v>2.9729999999999999</v>
      </c>
      <c r="P28" s="8">
        <f>1.771 + 0.306 + 1.513 + 0.625</f>
        <v>4.2149999999999999</v>
      </c>
      <c r="Q28" s="8"/>
      <c r="R28" s="8"/>
      <c r="S28" s="8">
        <v>5.4029999999999996</v>
      </c>
      <c r="T28" s="8">
        <f>0.782 + 1.986 + 1.837</f>
        <v>4.6049999999999995</v>
      </c>
      <c r="U28" s="8"/>
      <c r="V28" s="8">
        <f t="shared" si="18"/>
        <v>1.4177598385469223</v>
      </c>
      <c r="W28" s="8"/>
      <c r="X28" s="8">
        <f t="shared" si="17"/>
        <v>0.85230427540255416</v>
      </c>
      <c r="Y28" s="31">
        <f t="shared" si="4"/>
        <v>-5.5008127582560053E-2</v>
      </c>
      <c r="Z28" s="31">
        <f t="shared" si="5"/>
        <v>-5.5008127582560053E-2</v>
      </c>
      <c r="AA28" s="31" t="str">
        <f t="shared" si="6"/>
        <v/>
      </c>
      <c r="AB28" s="36"/>
      <c r="AC28" s="2" t="s">
        <v>693</v>
      </c>
      <c r="AD28" s="2">
        <v>517</v>
      </c>
      <c r="AE28" s="2" t="str">
        <f t="shared" si="7"/>
        <v>HC43 517</v>
      </c>
      <c r="AF28" s="2" t="s">
        <v>20</v>
      </c>
      <c r="AG28" s="2" t="s">
        <v>977</v>
      </c>
      <c r="AH28" s="2">
        <f t="shared" si="8"/>
        <v>10</v>
      </c>
      <c r="AI28" s="2">
        <f t="shared" si="9"/>
        <v>6</v>
      </c>
      <c r="AJ28" s="2">
        <f t="shared" si="10"/>
        <v>4</v>
      </c>
      <c r="AK28" s="14">
        <f t="shared" si="11"/>
        <v>33.420666666666669</v>
      </c>
      <c r="AL28" s="15">
        <f t="shared" si="12"/>
        <v>7.9677682829284295</v>
      </c>
      <c r="AM28" s="15">
        <f t="array" ref="AM28">STDEV(IF(C$2:C$1094=AE28,IF(L$2:L$1094&gt;0,L$2:L$1094)))/SQRT(AI28)</f>
        <v>0.2468781691851363</v>
      </c>
      <c r="AN28" s="15">
        <f t="shared" si="15"/>
        <v>0.24800947244439209</v>
      </c>
      <c r="AO28" s="16">
        <f t="array" ref="AO28">AVERAGE(IF($D$2:$D$1094=$AC28,IF($E$2:$E$1094=$AD28,IF(ISNUMBER($AA$2:$AA$1094)=TRUE,10^($AA$2:$AA$1094*1.66956+1.732077)))))</f>
        <v>33.347776117137776</v>
      </c>
      <c r="AP28" s="17">
        <f t="array" ref="AP28">AVERAGE(IF($D$2:$D$1094=$AC28,IF($E$2:$E$1094=$AD28,IF(ISNUMBER($AA$2:$AA$1094)=TRUE,LN(100*10^($AA$2:$AA$1094*1.66956+1.732077))))))</f>
        <v>8.1049537621157288</v>
      </c>
      <c r="AQ28" s="17">
        <v>7.7365975834030296</v>
      </c>
      <c r="AR28" s="19">
        <v>8.4783390460139803</v>
      </c>
      <c r="AS28" s="16">
        <f t="array" ref="AS28">AVERAGE(IF($D$2:$D$1094=$AC28,IF($E$2:$E$1094=$AD28,IF(ISNUMBER($Z$2:$Z$1094)=TRUE,10^($Z$2:$Z$1094*1.66956+1.732077)))))</f>
        <v>36.66674456692288</v>
      </c>
      <c r="AT28" s="17">
        <f t="array" ref="AT28">AVERAGE(IF($D$2:$D$1094=$AC28,IF($E$2:$E$1094=$AD28,IF(ISNUMBER($Z$2:$Z$1094)=TRUE,LN(100*10^($Z$2:$Z$1094*1.66956+1.732077))))))</f>
        <v>8.1633042063866821</v>
      </c>
      <c r="AU28" s="17">
        <v>7.7589053083281598</v>
      </c>
      <c r="AV28" s="17">
        <v>8.5626106700879401</v>
      </c>
      <c r="AW28" s="12">
        <f t="array" ref="AW28">AVERAGE(IF($D$2:$D$1094=$AC28,IF($E$2:$E$1094=$AD28,IF(ISNUMBER($AA$2:$AA$1094)=TRUE,10^($AA$2:$AA$1094*2.04+1.96)))))</f>
        <v>50.753185107849731</v>
      </c>
      <c r="AX28" s="13">
        <f t="array" ref="AX28">AVERAGE(IF($D$2:$D$1094=$AC28,IF($E$2:$E$1094=$AD28,IF(ISNUMBER($AA$2:$AA$1094)=TRUE,LN(100*10^($AA$2:$AA$1094*2.04+1.96))))))</f>
        <v>8.5213844729043355</v>
      </c>
      <c r="AY28" s="13">
        <v>8.0740462908420003</v>
      </c>
      <c r="AZ28" s="18">
        <v>8.9889187281515994</v>
      </c>
      <c r="BA28" s="12">
        <f t="array" ref="BA28">AVERAGE(IF($D$2:$D$1094=$AC28,IF($E$2:$E$1094=$AD28,IF(ISNUMBER($Z$2:$Z$1094)=TRUE,10^($Z$2:$Z$1094*2.04+1.96)))))</f>
        <v>57.618635333398238</v>
      </c>
      <c r="BB28" s="13">
        <f t="array" ref="BB28">AVERAGE(IF($D$2:$D$1094=$AC28,IF($E$2:$E$1094=$AD28,IF(ISNUMBER($Z$2:$Z$1094)=TRUE,LN(100*10^($Z$2:$Z$1094*2.04+1.96))))))</f>
        <v>8.5926816448015675</v>
      </c>
      <c r="BC28" s="13">
        <v>8.1037776032425004</v>
      </c>
      <c r="BD28" s="13">
        <v>9.0947393089501301</v>
      </c>
      <c r="BE28" s="8"/>
      <c r="BF28" s="17">
        <f t="shared" si="13"/>
        <v>5.8350444270953261E-2</v>
      </c>
      <c r="BG28" s="13">
        <f t="shared" si="14"/>
        <v>7.1297171897231948E-2</v>
      </c>
    </row>
    <row r="29" spans="1:59" x14ac:dyDescent="0.25">
      <c r="A29" s="6" t="str">
        <f t="shared" si="0"/>
        <v>fragment</v>
      </c>
      <c r="B29" s="6" t="s">
        <v>18</v>
      </c>
      <c r="C29" s="6" t="str">
        <f t="shared" si="1"/>
        <v>FU29 436</v>
      </c>
      <c r="D29" s="6" t="s">
        <v>17</v>
      </c>
      <c r="E29" s="20">
        <v>436</v>
      </c>
      <c r="F29" s="6" t="s">
        <v>24</v>
      </c>
      <c r="G29" s="6" t="s">
        <v>36</v>
      </c>
      <c r="H29" s="6" t="s">
        <v>974</v>
      </c>
      <c r="I29" s="6" t="s">
        <v>20</v>
      </c>
      <c r="J29" s="29"/>
      <c r="K29" s="8" t="str">
        <f t="shared" si="2"/>
        <v/>
      </c>
      <c r="L29" s="8" t="str">
        <f t="shared" si="3"/>
        <v/>
      </c>
      <c r="M29" s="8"/>
      <c r="N29" s="8"/>
      <c r="O29" s="8">
        <v>9.7509999999999994</v>
      </c>
      <c r="P29" s="8">
        <f>0.984 + 2.964 + 2.974 + 1.807</f>
        <v>8.729000000000001</v>
      </c>
      <c r="Q29" s="8"/>
      <c r="R29" s="8"/>
      <c r="S29" s="8">
        <v>9.7260000000000009</v>
      </c>
      <c r="T29" s="8">
        <f>0.178 + 2.297 + 2.799 + 2.502 + 0.403 + 1.61</f>
        <v>9.7889999999999997</v>
      </c>
      <c r="U29" s="8"/>
      <c r="V29" s="8">
        <f t="shared" si="18"/>
        <v>0.89519023689877975</v>
      </c>
      <c r="W29" s="8"/>
      <c r="X29" s="8">
        <f t="shared" si="17"/>
        <v>1.0064774830351633</v>
      </c>
      <c r="Y29" s="31">
        <f t="shared" si="4"/>
        <v>2.1895361088811065E-2</v>
      </c>
      <c r="Z29" s="31">
        <f t="shared" si="5"/>
        <v>2.1895361088811065E-2</v>
      </c>
      <c r="AA29" s="31" t="str">
        <f t="shared" si="6"/>
        <v/>
      </c>
      <c r="AB29" s="36"/>
      <c r="AC29" s="6" t="s">
        <v>715</v>
      </c>
      <c r="AD29" s="6">
        <v>2215</v>
      </c>
      <c r="AE29" s="2" t="str">
        <f t="shared" si="7"/>
        <v>HC49 2215</v>
      </c>
      <c r="AF29" s="2" t="s">
        <v>20</v>
      </c>
      <c r="AG29" s="2" t="s">
        <v>977</v>
      </c>
      <c r="AH29" s="2">
        <f t="shared" si="8"/>
        <v>10</v>
      </c>
      <c r="AI29" s="2">
        <f t="shared" si="9"/>
        <v>6</v>
      </c>
      <c r="AJ29" s="2">
        <f t="shared" si="10"/>
        <v>4</v>
      </c>
      <c r="AK29" s="14">
        <f t="shared" si="11"/>
        <v>13.336725000000001</v>
      </c>
      <c r="AL29" s="15">
        <f t="shared" si="12"/>
        <v>7.1387077903578673</v>
      </c>
      <c r="AM29" s="15">
        <f t="array" ref="AM29">STDEV(IF(C$2:C$1094=AE29,IF(L$2:L$1094&gt;0,L$2:L$1094)))/SQRT(AI29)</f>
        <v>0.16295753875312333</v>
      </c>
      <c r="AN29" s="15">
        <f t="shared" si="15"/>
        <v>0.16466641259958448</v>
      </c>
      <c r="AO29" s="16">
        <f t="array" ref="AO29">AVERAGE(IF($D$2:$D$1094=$AC29,IF($E$2:$E$1094=$AD29,IF(ISNUMBER($AA$2:$AA$1094)=TRUE,10^($AA$2:$AA$1094*1.66956+1.732077)))))</f>
        <v>13.332677880518494</v>
      </c>
      <c r="AP29" s="17">
        <f t="array" ref="AP29">AVERAGE(IF($D$2:$D$1094=$AC29,IF($E$2:$E$1094=$AD29,IF(ISNUMBER($AA$2:$AA$1094)=TRUE,LN(100*10^($AA$2:$AA$1094*1.66956+1.732077))))))</f>
        <v>7.1539243867414903</v>
      </c>
      <c r="AQ29" s="17">
        <v>6.7597288625754697</v>
      </c>
      <c r="AR29" s="19">
        <v>7.54857630091864</v>
      </c>
      <c r="AS29" s="16">
        <f t="array" ref="AS29">AVERAGE(IF($D$2:$D$1094=$AC29,IF($E$2:$E$1094=$AD29,IF(ISNUMBER($Z$2:$Z$1094)=TRUE,10^($Z$2:$Z$1094*1.66956+1.732077)))))</f>
        <v>16.539682769747465</v>
      </c>
      <c r="AT29" s="17">
        <f t="array" ref="AT29">AVERAGE(IF($D$2:$D$1094=$AC29,IF($E$2:$E$1094=$AD29,IF(ISNUMBER($Z$2:$Z$1094)=TRUE,LN(100*10^($Z$2:$Z$1094*1.66956+1.732077))))))</f>
        <v>7.2309257584375555</v>
      </c>
      <c r="AU29" s="17">
        <v>6.6878950429057404</v>
      </c>
      <c r="AV29" s="17">
        <v>7.7694213280708198</v>
      </c>
      <c r="AW29" s="12">
        <f t="array" ref="AW29">AVERAGE(IF($D$2:$D$1094=$AC29,IF($E$2:$E$1094=$AD29,IF(ISNUMBER($AA$2:$AA$1094)=TRUE,10^($AA$2:$AA$1094*2.04+1.96)))))</f>
        <v>16.689727711147977</v>
      </c>
      <c r="AX29" s="13">
        <f t="array" ref="AX29">AVERAGE(IF($D$2:$D$1094=$AC29,IF($E$2:$E$1094=$AD29,IF(ISNUMBER($AA$2:$AA$1094)=TRUE,LN(100*10^($AA$2:$AA$1094*2.04+1.96))))))</f>
        <v>7.3593418234856571</v>
      </c>
      <c r="AY29" s="13">
        <v>6.8834035969898002</v>
      </c>
      <c r="AZ29" s="18">
        <v>7.8524646078574998</v>
      </c>
      <c r="BA29" s="12">
        <f t="array" ref="BA29">AVERAGE(IF($D$2:$D$1094=$AC29,IF($E$2:$E$1094=$AD29,IF(ISNUMBER($Z$2:$Z$1094)=TRUE,10^($Z$2:$Z$1094*2.04+1.96)))))</f>
        <v>22.219649325637643</v>
      </c>
      <c r="BB29" s="13">
        <f t="array" ref="BB29">AVERAGE(IF($D$2:$D$1094=$AC29,IF($E$2:$E$1094=$AD29,IF(ISNUMBER($Z$2:$Z$1094)=TRUE,LN(100*10^($Z$2:$Z$1094*2.04+1.96))))))</f>
        <v>7.4534281685466155</v>
      </c>
      <c r="BC29" s="13">
        <v>6.7962811965100798</v>
      </c>
      <c r="BD29" s="13">
        <v>8.1207013244778903</v>
      </c>
      <c r="BE29" s="8"/>
      <c r="BF29" s="17">
        <f t="shared" si="13"/>
        <v>7.7001371696065135E-2</v>
      </c>
      <c r="BG29" s="13">
        <f t="shared" si="14"/>
        <v>9.4086345060958365E-2</v>
      </c>
    </row>
    <row r="30" spans="1:59" x14ac:dyDescent="0.25">
      <c r="A30" s="6" t="str">
        <f t="shared" si="0"/>
        <v>fragment</v>
      </c>
      <c r="B30" s="6" t="s">
        <v>18</v>
      </c>
      <c r="C30" s="6" t="str">
        <f t="shared" si="1"/>
        <v>FU29 436</v>
      </c>
      <c r="D30" s="6" t="s">
        <v>17</v>
      </c>
      <c r="E30" s="20">
        <v>436</v>
      </c>
      <c r="F30" s="6" t="s">
        <v>24</v>
      </c>
      <c r="G30" s="6" t="s">
        <v>37</v>
      </c>
      <c r="H30" s="6" t="s">
        <v>974</v>
      </c>
      <c r="I30" s="6" t="s">
        <v>20</v>
      </c>
      <c r="J30" s="29"/>
      <c r="K30" s="8" t="str">
        <f t="shared" si="2"/>
        <v/>
      </c>
      <c r="L30" s="8" t="str">
        <f t="shared" si="3"/>
        <v/>
      </c>
      <c r="M30" s="8">
        <v>3.8420000000000001</v>
      </c>
      <c r="N30" s="8">
        <f>1.5+2.781</f>
        <v>4.2810000000000006</v>
      </c>
      <c r="O30" s="8">
        <v>2.9319999999999999</v>
      </c>
      <c r="P30" s="8">
        <f>1.4+1.751</f>
        <v>3.1509999999999998</v>
      </c>
      <c r="Q30" s="8"/>
      <c r="R30" s="8"/>
      <c r="S30" s="8"/>
      <c r="T30" s="8"/>
      <c r="U30" s="8">
        <f>N30/M30</f>
        <v>1.1142634044768351</v>
      </c>
      <c r="V30" s="8">
        <f t="shared" si="18"/>
        <v>1.074693042291951</v>
      </c>
      <c r="W30" s="8"/>
      <c r="X30" s="8"/>
      <c r="Y30" s="31">
        <f t="shared" si="4"/>
        <v>-3.9207124918954041E-2</v>
      </c>
      <c r="Z30" s="31">
        <f t="shared" si="5"/>
        <v>-3.9207124918954041E-2</v>
      </c>
      <c r="AA30" s="31" t="str">
        <f t="shared" si="6"/>
        <v/>
      </c>
      <c r="AB30" s="36"/>
      <c r="AC30" s="2" t="s">
        <v>715</v>
      </c>
      <c r="AD30" s="2">
        <v>430</v>
      </c>
      <c r="AE30" s="2" t="str">
        <f t="shared" si="7"/>
        <v>HC49 430</v>
      </c>
      <c r="AF30" s="2" t="s">
        <v>20</v>
      </c>
      <c r="AG30" s="2" t="s">
        <v>977</v>
      </c>
      <c r="AH30" s="2">
        <f t="shared" si="8"/>
        <v>30</v>
      </c>
      <c r="AI30" s="2">
        <f t="shared" si="9"/>
        <v>13</v>
      </c>
      <c r="AJ30" s="2">
        <f t="shared" si="10"/>
        <v>17</v>
      </c>
      <c r="AK30" s="14">
        <f t="shared" si="11"/>
        <v>9.576468461538461</v>
      </c>
      <c r="AL30" s="15">
        <f t="shared" si="12"/>
        <v>6.7277779292483313</v>
      </c>
      <c r="AM30" s="15">
        <f t="array" ref="AM30">STDEV(IF(C$2:C$1094=AE30,IF(L$2:L$1094&gt;0,L$2:L$1094)))/SQRT(AI30)</f>
        <v>0.16726630832059736</v>
      </c>
      <c r="AN30" s="15">
        <f t="shared" si="15"/>
        <v>0.16893160125074894</v>
      </c>
      <c r="AO30" s="16">
        <f t="array" ref="AO30">AVERAGE(IF($D$2:$D$1094=$AC30,IF($E$2:$E$1094=$AD30,IF(ISNUMBER($AA$2:$AA$1094)=TRUE,10^($AA$2:$AA$1094*1.66956+1.732077)))))</f>
        <v>11.640785649248478</v>
      </c>
      <c r="AP30" s="17">
        <f t="array" ref="AP30">AVERAGE(IF($D$2:$D$1094=$AC30,IF($E$2:$E$1094=$AD30,IF(ISNUMBER($AA$2:$AA$1094)=TRUE,LN(100*10^($AA$2:$AA$1094*1.66956+1.732077))))))</f>
        <v>6.9101714311748186</v>
      </c>
      <c r="AQ30" s="17">
        <v>6.5116445298758796</v>
      </c>
      <c r="AR30" s="19">
        <v>7.31326201806431</v>
      </c>
      <c r="AS30" s="16">
        <f t="array" ref="AS30">AVERAGE(IF($D$2:$D$1094=$AC30,IF($E$2:$E$1094=$AD30,IF(ISNUMBER($Z$2:$Z$1094)=TRUE,10^($Z$2:$Z$1094*1.66956+1.732077)))))</f>
        <v>13.470150764994232</v>
      </c>
      <c r="AT30" s="17">
        <f t="array" ref="AT30">AVERAGE(IF($D$2:$D$1094=$AC30,IF($E$2:$E$1094=$AD30,IF(ISNUMBER($Z$2:$Z$1094)=TRUE,LN(100*10^($Z$2:$Z$1094*1.66956+1.732077))))))</f>
        <v>7.048655053063781</v>
      </c>
      <c r="AU30" s="17">
        <v>6.6537289259614001</v>
      </c>
      <c r="AV30" s="17">
        <v>7.4449911977178997</v>
      </c>
      <c r="AW30" s="12">
        <f t="array" ref="AW30">AVERAGE(IF($D$2:$D$1094=$AC30,IF($E$2:$E$1094=$AD30,IF(ISNUMBER($AA$2:$AA$1094)=TRUE,10^($AA$2:$AA$1094*2.04+1.96)))))</f>
        <v>14.602037930362592</v>
      </c>
      <c r="AX30" s="13">
        <f t="array" ref="AX30">AVERAGE(IF($D$2:$D$1094=$AC30,IF($E$2:$E$1094=$AD30,IF(ISNUMBER($AA$2:$AA$1094)=TRUE,LN(100*10^($AA$2:$AA$1094*2.04+1.96))))))</f>
        <v>7.0615052501633375</v>
      </c>
      <c r="AY30" s="13">
        <v>6.5728982362339803</v>
      </c>
      <c r="AZ30" s="18">
        <v>7.5626834175753004</v>
      </c>
      <c r="BA30" s="12">
        <f t="array" ref="BA30">AVERAGE(IF($D$2:$D$1094=$AC30,IF($E$2:$E$1094=$AD30,IF(ISNUMBER($Z$2:$Z$1094)=TRUE,10^($Z$2:$Z$1094*2.04+1.96)))))</f>
        <v>17.422781746839561</v>
      </c>
      <c r="BB30" s="13">
        <f t="array" ref="BB30">AVERAGE(IF($D$2:$D$1094=$AC30,IF($E$2:$E$1094=$AD30,IF(ISNUMBER($Z$2:$Z$1094)=TRUE,LN(100*10^($Z$2:$Z$1094*2.04+1.96))))))</f>
        <v>7.2307154544408032</v>
      </c>
      <c r="BC30" s="13">
        <v>6.7475965443304098</v>
      </c>
      <c r="BD30" s="13">
        <v>7.7199476752748799</v>
      </c>
      <c r="BE30" s="8"/>
      <c r="BF30" s="17">
        <f t="shared" si="13"/>
        <v>0.13848362188896246</v>
      </c>
      <c r="BG30" s="13">
        <f t="shared" si="14"/>
        <v>0.16921020427746569</v>
      </c>
    </row>
    <row r="31" spans="1:59" x14ac:dyDescent="0.25">
      <c r="A31" s="6" t="str">
        <f t="shared" si="0"/>
        <v>fragment</v>
      </c>
      <c r="B31" s="6" t="s">
        <v>18</v>
      </c>
      <c r="C31" s="6" t="str">
        <f t="shared" si="1"/>
        <v>FU29 436</v>
      </c>
      <c r="D31" s="6" t="s">
        <v>17</v>
      </c>
      <c r="E31" s="20">
        <v>436</v>
      </c>
      <c r="F31" s="6" t="s">
        <v>24</v>
      </c>
      <c r="G31" s="6" t="s">
        <v>38</v>
      </c>
      <c r="H31" s="6" t="s">
        <v>974</v>
      </c>
      <c r="I31" s="6" t="s">
        <v>20</v>
      </c>
      <c r="J31" s="29"/>
      <c r="K31" s="8" t="str">
        <f t="shared" si="2"/>
        <v/>
      </c>
      <c r="L31" s="8" t="str">
        <f t="shared" si="3"/>
        <v/>
      </c>
      <c r="M31" s="8"/>
      <c r="N31" s="8"/>
      <c r="O31" s="8">
        <v>13.663</v>
      </c>
      <c r="P31" s="8">
        <f>1.999 + 2.746 + 2.651 + 2.682 + 1.347</f>
        <v>11.424999999999999</v>
      </c>
      <c r="Q31" s="8"/>
      <c r="R31" s="8"/>
      <c r="S31" s="8">
        <v>12.093</v>
      </c>
      <c r="T31" s="8">
        <f>2.196 + 2.177 + 2.261 + 2.044 + 1.669</f>
        <v>10.347000000000001</v>
      </c>
      <c r="U31" s="8"/>
      <c r="V31" s="8">
        <f t="shared" si="18"/>
        <v>0.83619995608577902</v>
      </c>
      <c r="W31" s="8"/>
      <c r="X31" s="8">
        <f>T31/S31</f>
        <v>0.85561895311337144</v>
      </c>
      <c r="Y31" s="31">
        <f t="shared" si="4"/>
        <v>7.2676120970740471E-2</v>
      </c>
      <c r="Z31" s="31">
        <f t="shared" si="5"/>
        <v>7.2676120970740471E-2</v>
      </c>
      <c r="AA31" s="31" t="str">
        <f t="shared" si="6"/>
        <v/>
      </c>
      <c r="AB31" s="36"/>
      <c r="AC31" s="6" t="s">
        <v>715</v>
      </c>
      <c r="AD31" s="6">
        <v>565</v>
      </c>
      <c r="AE31" s="2" t="str">
        <f t="shared" si="7"/>
        <v>HC49 565</v>
      </c>
      <c r="AF31" s="2" t="s">
        <v>20</v>
      </c>
      <c r="AG31" s="2" t="s">
        <v>978</v>
      </c>
      <c r="AH31" s="2">
        <f t="shared" si="8"/>
        <v>23</v>
      </c>
      <c r="AI31" s="2">
        <f t="shared" si="9"/>
        <v>17</v>
      </c>
      <c r="AJ31" s="2">
        <f t="shared" si="10"/>
        <v>6</v>
      </c>
      <c r="AK31" s="14">
        <f t="shared" si="11"/>
        <v>12.29112294117647</v>
      </c>
      <c r="AL31" s="15">
        <f t="shared" si="12"/>
        <v>6.8896137178230372</v>
      </c>
      <c r="AM31" s="15">
        <f t="array" ref="AM31">STDEV(IF(C$2:C$1094=AE31,IF(L$2:L$1094&gt;0,L$2:L$1094)))/SQRT(AI31)</f>
        <v>0.18475041929691971</v>
      </c>
      <c r="AN31" s="15">
        <f t="shared" si="15"/>
        <v>0.18625945729634386</v>
      </c>
      <c r="AO31" s="16">
        <f t="array" ref="AO31">AVERAGE(IF($D$2:$D$1094=$AC31,IF($E$2:$E$1094=$AD31,IF(ISNUMBER($AA$2:$AA$1094)=TRUE,10^($AA$2:$AA$1094*1.66956+1.732077)))))</f>
        <v>11.993357343020824</v>
      </c>
      <c r="AP31" s="17">
        <f t="array" ref="AP31">AVERAGE(IF($D$2:$D$1094=$AC31,IF($E$2:$E$1094=$AD31,IF(ISNUMBER($AA$2:$AA$1094)=TRUE,LN(100*10^($AA$2:$AA$1094*1.66956+1.732077))))))</f>
        <v>6.913092503446796</v>
      </c>
      <c r="AQ31" s="17">
        <v>6.5076594637055898</v>
      </c>
      <c r="AR31" s="19">
        <v>7.3185552268640199</v>
      </c>
      <c r="AS31" s="16">
        <f t="array" ref="AS31">AVERAGE(IF($D$2:$D$1094=$AC31,IF($E$2:$E$1094=$AD31,IF(ISNUMBER($Z$2:$Z$1094)=TRUE,10^($Z$2:$Z$1094*1.66956+1.732077)))))</f>
        <v>13.645492202179895</v>
      </c>
      <c r="AT31" s="17">
        <f t="array" ref="AT31">AVERAGE(IF($D$2:$D$1094=$AC31,IF($E$2:$E$1094=$AD31,IF(ISNUMBER($Z$2:$Z$1094)=TRUE,LN(100*10^($Z$2:$Z$1094*1.66956+1.732077))))))</f>
        <v>7.1609559339727289</v>
      </c>
      <c r="AU31" s="17">
        <v>6.7602197551957399</v>
      </c>
      <c r="AV31" s="17">
        <v>7.5580781362884402</v>
      </c>
      <c r="AW31" s="12">
        <f t="array" ref="AW31">AVERAGE(IF($D$2:$D$1094=$AC31,IF($E$2:$E$1094=$AD31,IF(ISNUMBER($AA$2:$AA$1094)=TRUE,10^($AA$2:$AA$1094*2.04+1.96)))))</f>
        <v>15.056737224603815</v>
      </c>
      <c r="AX31" s="13">
        <f t="array" ref="AX31">AVERAGE(IF($D$2:$D$1094=$AC31,IF($E$2:$E$1094=$AD31,IF(ISNUMBER($AA$2:$AA$1094)=TRUE,LN(100*10^($AA$2:$AA$1094*2.04+1.96))))))</f>
        <v>7.0650744464993984</v>
      </c>
      <c r="AY31" s="13">
        <v>6.5695730331793403</v>
      </c>
      <c r="AZ31" s="18">
        <v>7.5686892158686998</v>
      </c>
      <c r="BA31" s="12">
        <f t="array" ref="BA31">AVERAGE(IF($D$2:$D$1094=$AC31,IF($E$2:$E$1094=$AD31,IF(ISNUMBER($Z$2:$Z$1094)=TRUE,10^($Z$2:$Z$1094*2.04+1.96)))))</f>
        <v>17.268131359614692</v>
      </c>
      <c r="BB31" s="13">
        <f t="array" ref="BB31">AVERAGE(IF($D$2:$D$1094=$AC31,IF($E$2:$E$1094=$AD31,IF(ISNUMBER($Z$2:$Z$1094)=TRUE,LN(100*10^($Z$2:$Z$1094*2.04+1.96))))))</f>
        <v>7.3679335221078839</v>
      </c>
      <c r="BC31" s="13">
        <v>6.8841223918856302</v>
      </c>
      <c r="BD31" s="13">
        <v>7.8644275398201904</v>
      </c>
      <c r="BE31" s="8"/>
      <c r="BF31" s="17">
        <f t="shared" si="13"/>
        <v>0.24786343052593285</v>
      </c>
      <c r="BG31" s="13">
        <f t="shared" si="14"/>
        <v>0.30285907560848546</v>
      </c>
    </row>
    <row r="32" spans="1:59" x14ac:dyDescent="0.25">
      <c r="A32" s="6" t="str">
        <f t="shared" si="0"/>
        <v>fragment</v>
      </c>
      <c r="B32" s="6" t="s">
        <v>18</v>
      </c>
      <c r="C32" s="6" t="str">
        <f t="shared" si="1"/>
        <v>FU29 436</v>
      </c>
      <c r="D32" s="6" t="s">
        <v>17</v>
      </c>
      <c r="E32" s="20">
        <v>436</v>
      </c>
      <c r="F32" s="6" t="s">
        <v>24</v>
      </c>
      <c r="G32" s="6" t="s">
        <v>39</v>
      </c>
      <c r="H32" s="6" t="s">
        <v>974</v>
      </c>
      <c r="I32" s="6" t="s">
        <v>20</v>
      </c>
      <c r="J32" s="29"/>
      <c r="K32" s="8" t="str">
        <f t="shared" si="2"/>
        <v/>
      </c>
      <c r="L32" s="8" t="str">
        <f t="shared" si="3"/>
        <v/>
      </c>
      <c r="M32" s="8"/>
      <c r="N32" s="8"/>
      <c r="O32" s="8">
        <v>8.7569999999999997</v>
      </c>
      <c r="P32" s="8">
        <f>1.905+2.859+2.444+1.275</f>
        <v>8.4830000000000005</v>
      </c>
      <c r="Q32" s="8">
        <v>7.4539999999999997</v>
      </c>
      <c r="R32" s="8">
        <f>2.139+2.569+1.36</f>
        <v>6.0680000000000005</v>
      </c>
      <c r="S32" s="8"/>
      <c r="T32" s="8"/>
      <c r="U32" s="8"/>
      <c r="V32" s="8">
        <f t="shared" si="18"/>
        <v>0.96871074568916304</v>
      </c>
      <c r="W32" s="8">
        <f>R32/Q32</f>
        <v>0.81405956533404888</v>
      </c>
      <c r="X32" s="8"/>
      <c r="Y32" s="31">
        <f t="shared" si="4"/>
        <v>4.993460261811343E-2</v>
      </c>
      <c r="Z32" s="31">
        <f t="shared" si="5"/>
        <v>4.993460261811343E-2</v>
      </c>
      <c r="AA32" s="31" t="str">
        <f t="shared" si="6"/>
        <v/>
      </c>
      <c r="AB32" s="36"/>
      <c r="AC32" s="2" t="s">
        <v>750</v>
      </c>
      <c r="AD32" s="2">
        <v>571</v>
      </c>
      <c r="AE32" s="2" t="str">
        <f t="shared" si="7"/>
        <v>HC57 571</v>
      </c>
      <c r="AF32" s="2" t="s">
        <v>5</v>
      </c>
      <c r="AG32" s="2" t="s">
        <v>977</v>
      </c>
      <c r="AH32" s="2">
        <f t="shared" si="8"/>
        <v>21</v>
      </c>
      <c r="AI32" s="2">
        <f t="shared" si="9"/>
        <v>10</v>
      </c>
      <c r="AJ32" s="2">
        <f t="shared" si="10"/>
        <v>11</v>
      </c>
      <c r="AK32" s="14">
        <f t="shared" si="11"/>
        <v>68.71350000000001</v>
      </c>
      <c r="AL32" s="15">
        <f t="shared" si="12"/>
        <v>8.7539129762160748</v>
      </c>
      <c r="AM32" s="15">
        <f t="array" ref="AM32">STDEV(IF(C$2:C$1094=AE32,IF(L$2:L$1094&gt;0,L$2:L$1094)))/SQRT(AI32)</f>
        <v>0.13759537724462476</v>
      </c>
      <c r="AN32" s="15">
        <f t="shared" si="15"/>
        <v>0.1396150272751164</v>
      </c>
      <c r="AO32" s="16">
        <f t="array" ref="AO32">AVERAGE(IF($D$2:$D$1094=$AC32,IF($E$2:$E$1094=$AD32,IF(ISNUMBER($AA$2:$AA$1094)=TRUE,10^($AA$2:$AA$1094*1.66956+1.732077)))))</f>
        <v>23.325670391756379</v>
      </c>
      <c r="AP32" s="17">
        <f t="array" ref="AP32">AVERAGE(IF($D$2:$D$1094=$AC32,IF($E$2:$E$1094=$AD32,IF(ISNUMBER($AA$2:$AA$1094)=TRUE,LN(100*10^($AA$2:$AA$1094*1.66956+1.732077))))))</f>
        <v>7.6892841535491545</v>
      </c>
      <c r="AQ32" s="17">
        <v>7.3036640269263504</v>
      </c>
      <c r="AR32" s="19">
        <v>8.0763258768253294</v>
      </c>
      <c r="AS32" s="16">
        <f t="array" ref="AS32">AVERAGE(IF($D$2:$D$1094=$AC32,IF($E$2:$E$1094=$AD32,IF(ISNUMBER($Z$2:$Z$1094)=TRUE,10^($Z$2:$Z$1094*1.66956+1.732077)))))</f>
        <v>24.082193256417018</v>
      </c>
      <c r="AT32" s="17">
        <f t="array" ref="AT32">AVERAGE(IF($D$2:$D$1094=$AC32,IF($E$2:$E$1094=$AD32,IF(ISNUMBER($Z$2:$Z$1094)=TRUE,LN(100*10^($Z$2:$Z$1094*1.66956+1.732077))))))</f>
        <v>7.7194788675090136</v>
      </c>
      <c r="AU32" s="17">
        <v>7.3335493962175802</v>
      </c>
      <c r="AV32" s="17">
        <v>8.10777252769104</v>
      </c>
      <c r="AW32" s="12">
        <f t="array" ref="AW32">AVERAGE(IF($D$2:$D$1094=$AC32,IF($E$2:$E$1094=$AD32,IF(ISNUMBER($AA$2:$AA$1094)=TRUE,10^($AA$2:$AA$1094*2.04+1.96)))))</f>
        <v>33.335537696695226</v>
      </c>
      <c r="AX32" s="13">
        <f t="array" ref="AX32">AVERAGE(IF($D$2:$D$1094=$AC32,IF($E$2:$E$1094=$AD32,IF(ISNUMBER($AA$2:$AA$1094)=TRUE,LN(100*10^($AA$2:$AA$1094*2.04+1.96))))))</f>
        <v>8.0134865827561441</v>
      </c>
      <c r="AY32" s="13">
        <v>7.5479920437791099</v>
      </c>
      <c r="AZ32" s="18">
        <v>8.4939529687782294</v>
      </c>
      <c r="BA32" s="12">
        <f t="array" ref="BA32">AVERAGE(IF($D$2:$D$1094=$AC32,IF($E$2:$E$1094=$AD32,IF(ISNUMBER($Z$2:$Z$1094)=TRUE,10^($Z$2:$Z$1094*2.04+1.96)))))</f>
        <v>34.615791588284132</v>
      </c>
      <c r="BB32" s="13">
        <f t="array" ref="BB32">AVERAGE(IF($D$2:$D$1094=$AC32,IF($E$2:$E$1094=$AD32,IF(ISNUMBER($Z$2:$Z$1094)=TRUE,LN(100*10^($Z$2:$Z$1094*2.04+1.96))))))</f>
        <v>8.0503808641704762</v>
      </c>
      <c r="BC32" s="13">
        <v>7.5851068639696004</v>
      </c>
      <c r="BD32" s="13">
        <v>8.5353356760259995</v>
      </c>
      <c r="BE32" s="8"/>
      <c r="BF32" s="17">
        <f t="shared" si="13"/>
        <v>3.0194713959859065E-2</v>
      </c>
      <c r="BG32" s="13">
        <f t="shared" si="14"/>
        <v>3.6894281414332042E-2</v>
      </c>
    </row>
    <row r="33" spans="1:60" x14ac:dyDescent="0.25">
      <c r="A33" s="6" t="str">
        <f t="shared" si="0"/>
        <v>complete</v>
      </c>
      <c r="B33" s="6" t="s">
        <v>18</v>
      </c>
      <c r="C33" s="6" t="str">
        <f t="shared" si="1"/>
        <v>FU29 436</v>
      </c>
      <c r="D33" s="6" t="s">
        <v>17</v>
      </c>
      <c r="E33" s="20">
        <v>436</v>
      </c>
      <c r="F33" s="6" t="s">
        <v>24</v>
      </c>
      <c r="G33" s="6" t="s">
        <v>40</v>
      </c>
      <c r="H33" s="6" t="s">
        <v>974</v>
      </c>
      <c r="I33" s="6" t="s">
        <v>20</v>
      </c>
      <c r="J33" s="29">
        <f>14.864*2</f>
        <v>29.728000000000002</v>
      </c>
      <c r="K33" s="8">
        <f t="shared" si="2"/>
        <v>1.4731656923135477</v>
      </c>
      <c r="L33" s="8">
        <f t="shared" si="3"/>
        <v>7.9972595486195193</v>
      </c>
      <c r="M33" s="8"/>
      <c r="N33" s="8"/>
      <c r="O33" s="8">
        <v>5.9379999999999997</v>
      </c>
      <c r="P33" s="8">
        <f>2.504 + 0.247 + 3.101 + 0.604 + 1.762 + 0.873 + 0.527</f>
        <v>9.6179999999999986</v>
      </c>
      <c r="Q33" s="8"/>
      <c r="R33" s="8"/>
      <c r="S33" s="8">
        <v>6.5460000000000003</v>
      </c>
      <c r="T33" s="8">
        <f>0.631 + 1.808 + 1.92 + 2.766 + 2.62 + 0.32 + 0.988</f>
        <v>11.053000000000001</v>
      </c>
      <c r="U33" s="8"/>
      <c r="V33" s="8">
        <f t="shared" si="18"/>
        <v>1.6197372852812393</v>
      </c>
      <c r="W33" s="8"/>
      <c r="X33" s="8">
        <f>T33/S33</f>
        <v>1.6885120684387414</v>
      </c>
      <c r="Y33" s="31">
        <f t="shared" si="4"/>
        <v>-0.2185682406649341</v>
      </c>
      <c r="Z33" s="31" t="str">
        <f t="shared" si="5"/>
        <v/>
      </c>
      <c r="AA33" s="31">
        <f t="shared" si="6"/>
        <v>-0.2185682406649341</v>
      </c>
      <c r="AB33" s="36"/>
      <c r="AC33" s="2" t="s">
        <v>795</v>
      </c>
      <c r="AD33" s="2">
        <v>2097</v>
      </c>
      <c r="AE33" s="2" t="str">
        <f t="shared" si="7"/>
        <v>HC62 2097</v>
      </c>
      <c r="AF33" s="2" t="s">
        <v>20</v>
      </c>
      <c r="AG33" s="2" t="s">
        <v>977</v>
      </c>
      <c r="AH33" s="2">
        <f t="shared" si="8"/>
        <v>19</v>
      </c>
      <c r="AI33" s="2">
        <f t="shared" si="9"/>
        <v>3</v>
      </c>
      <c r="AJ33" s="2">
        <f t="shared" si="10"/>
        <v>16</v>
      </c>
      <c r="AK33" s="14">
        <f t="shared" si="11"/>
        <v>27.542666666666666</v>
      </c>
      <c r="AL33" s="15">
        <f t="shared" si="12"/>
        <v>7.8940332191693061</v>
      </c>
      <c r="AM33" s="15">
        <f t="array" ref="AM33">STDEV(IF(C$2:C$1094=AE33,IF(L$2:L$1094&gt;0,L$2:L$1094)))/SQRT(AI33)</f>
        <v>0.16747389953971467</v>
      </c>
      <c r="AN33" s="15">
        <f t="shared" si="15"/>
        <v>0.16913714857765383</v>
      </c>
      <c r="AO33" s="16">
        <f t="array" ref="AO33">AVERAGE(IF($D$2:$D$1094=$AC33,IF($E$2:$E$1094=$AD33,IF(ISNUMBER($AA$2:$AA$1094)=TRUE,10^($AA$2:$AA$1094*1.66956+1.732077)))))</f>
        <v>17.084472943234601</v>
      </c>
      <c r="AP33" s="17">
        <f t="array" ref="AP33">AVERAGE(IF($D$2:$D$1094=$AC33,IF($E$2:$E$1094=$AD33,IF(ISNUMBER($AA$2:$AA$1094)=TRUE,LN(100*10^($AA$2:$AA$1094*1.66956+1.732077))))))</f>
        <v>7.4428185592236007</v>
      </c>
      <c r="AQ33" s="17">
        <v>7.0691556032206702</v>
      </c>
      <c r="AR33" s="19">
        <v>7.8134108978021599</v>
      </c>
      <c r="AS33" s="16">
        <f t="array" ref="AS33">AVERAGE(IF($D$2:$D$1094=$AC33,IF($E$2:$E$1094=$AD33,IF(ISNUMBER($Z$2:$Z$1094)=TRUE,10^($Z$2:$Z$1094*1.66956+1.732077)))))</f>
        <v>18.743429230361492</v>
      </c>
      <c r="AT33" s="17">
        <f t="array" ref="AT33">AVERAGE(IF($D$2:$D$1094=$AC33,IF($E$2:$E$1094=$AD33,IF(ISNUMBER($Z$2:$Z$1094)=TRUE,LN(100*10^($Z$2:$Z$1094*1.66956+1.732077))))))</f>
        <v>7.4880101228911737</v>
      </c>
      <c r="AU33" s="17">
        <v>7.1108547036203804</v>
      </c>
      <c r="AV33" s="17">
        <v>7.8652674927367903</v>
      </c>
      <c r="AW33" s="12">
        <f t="array" ref="AW33">AVERAGE(IF($D$2:$D$1094=$AC33,IF($E$2:$E$1094=$AD33,IF(ISNUMBER($AA$2:$AA$1094)=TRUE,10^($AA$2:$AA$1094*2.04+1.96)))))</f>
        <v>22.375024569008549</v>
      </c>
      <c r="AX33" s="13">
        <f t="array" ref="AX33">AVERAGE(IF($D$2:$D$1094=$AC33,IF($E$2:$E$1094=$AD33,IF(ISNUMBER($AA$2:$AA$1094)=TRUE,LN(100*10^($AA$2:$AA$1094*2.04+1.96))))))</f>
        <v>7.7123354935924562</v>
      </c>
      <c r="AY33" s="13">
        <v>7.2672382094513202</v>
      </c>
      <c r="AZ33" s="18">
        <v>8.1733882643284304</v>
      </c>
      <c r="BA33" s="12">
        <f t="array" ref="BA33">AVERAGE(IF($D$2:$D$1094=$AC33,IF($E$2:$E$1094=$AD33,IF(ISNUMBER($Z$2:$Z$1094)=TRUE,10^($Z$2:$Z$1094*2.04+1.96)))))</f>
        <v>25.403257148493097</v>
      </c>
      <c r="BB33" s="13">
        <f t="array" ref="BB33">AVERAGE(IF($D$2:$D$1094=$AC33,IF($E$2:$E$1094=$AD33,IF(ISNUMBER($Z$2:$Z$1094)=TRUE,LN(100*10^($Z$2:$Z$1094*2.04+1.96))))))</f>
        <v>7.7675541080069417</v>
      </c>
      <c r="BC33" s="13">
        <v>7.3132055839929997</v>
      </c>
      <c r="BD33" s="13">
        <v>8.2401384908664195</v>
      </c>
      <c r="BE33" s="8"/>
      <c r="BF33" s="17">
        <f t="shared" si="13"/>
        <v>4.5191563667573043E-2</v>
      </c>
      <c r="BG33" s="13">
        <f t="shared" si="14"/>
        <v>5.5218614414485501E-2</v>
      </c>
    </row>
    <row r="34" spans="1:60" x14ac:dyDescent="0.25">
      <c r="A34" s="6" t="str">
        <f t="shared" si="0"/>
        <v>complete</v>
      </c>
      <c r="B34" s="6" t="s">
        <v>18</v>
      </c>
      <c r="C34" s="6" t="str">
        <f t="shared" si="1"/>
        <v>FU29 436</v>
      </c>
      <c r="D34" s="6" t="s">
        <v>17</v>
      </c>
      <c r="E34" s="20">
        <v>436</v>
      </c>
      <c r="F34" s="6" t="s">
        <v>24</v>
      </c>
      <c r="G34" s="6" t="s">
        <v>41</v>
      </c>
      <c r="H34" s="6" t="s">
        <v>974</v>
      </c>
      <c r="I34" s="6" t="s">
        <v>20</v>
      </c>
      <c r="J34" s="29">
        <v>19.100000000000001</v>
      </c>
      <c r="K34" s="8">
        <f t="shared" si="2"/>
        <v>1.2810333672477277</v>
      </c>
      <c r="L34" s="8">
        <f t="shared" si="3"/>
        <v>7.5548585210406758</v>
      </c>
      <c r="M34" s="8"/>
      <c r="N34" s="8"/>
      <c r="O34" s="8">
        <v>4.76</v>
      </c>
      <c r="P34" s="8">
        <f>1.073 + 1.549 + 1.534 + 0.804 + 2.495 + 0.32</f>
        <v>7.7750000000000004</v>
      </c>
      <c r="Q34" s="8"/>
      <c r="R34" s="8"/>
      <c r="S34" s="8"/>
      <c r="T34" s="8"/>
      <c r="U34" s="8"/>
      <c r="V34" s="8">
        <f t="shared" si="18"/>
        <v>1.633403361344538</v>
      </c>
      <c r="W34" s="8"/>
      <c r="X34" s="8"/>
      <c r="Y34" s="31">
        <f t="shared" si="4"/>
        <v>-0.21309344497838204</v>
      </c>
      <c r="Z34" s="31" t="str">
        <f t="shared" si="5"/>
        <v/>
      </c>
      <c r="AA34" s="31">
        <f t="shared" si="6"/>
        <v>-0.21309344497838204</v>
      </c>
      <c r="AB34" s="36"/>
      <c r="AC34" s="2" t="s">
        <v>795</v>
      </c>
      <c r="AD34" s="2">
        <v>517</v>
      </c>
      <c r="AE34" s="2" t="str">
        <f t="shared" si="7"/>
        <v>HC62 517</v>
      </c>
      <c r="AF34" s="2" t="s">
        <v>20</v>
      </c>
      <c r="AG34" s="2" t="s">
        <v>977</v>
      </c>
      <c r="AH34" s="2">
        <f t="shared" si="8"/>
        <v>12</v>
      </c>
      <c r="AI34" s="2">
        <f t="shared" si="9"/>
        <v>6</v>
      </c>
      <c r="AJ34" s="2">
        <f t="shared" si="10"/>
        <v>6</v>
      </c>
      <c r="AK34" s="14">
        <f t="shared" si="11"/>
        <v>18.046499999999998</v>
      </c>
      <c r="AL34" s="15">
        <f t="shared" si="12"/>
        <v>7.4530269278923624</v>
      </c>
      <c r="AM34" s="15">
        <f t="array" ref="AM34">STDEV(IF(C$2:C$1094=AE34,IF(L$2:L$1094&gt;0,L$2:L$1094)))/SQRT(AI34)</f>
        <v>0.13982602307731276</v>
      </c>
      <c r="AN34" s="15">
        <f t="shared" si="15"/>
        <v>0.14181390880854422</v>
      </c>
      <c r="AO34" s="16">
        <f t="array" ref="AO34">AVERAGE(IF($D$2:$D$1094=$AC34,IF($E$2:$E$1094=$AD34,IF(ISNUMBER($AA$2:$AA$1094)=TRUE,10^($AA$2:$AA$1094*1.66956+1.732077)))))</f>
        <v>11.651963307947456</v>
      </c>
      <c r="AP34" s="17">
        <f t="array" ref="AP34">AVERAGE(IF($D$2:$D$1094=$AC34,IF($E$2:$E$1094=$AD34,IF(ISNUMBER($AA$2:$AA$1094)=TRUE,LN(100*10^($AA$2:$AA$1094*1.66956+1.732077))))))</f>
        <v>7.0414418508186047</v>
      </c>
      <c r="AQ34" s="17">
        <v>6.6621667719913198</v>
      </c>
      <c r="AR34" s="19">
        <v>7.42392716582681</v>
      </c>
      <c r="AS34" s="16">
        <f t="array" ref="AS34">AVERAGE(IF($D$2:$D$1094=$AC34,IF($E$2:$E$1094=$AD34,IF(ISNUMBER($Z$2:$Z$1094)=TRUE,10^($Z$2:$Z$1094*1.66956+1.732077)))))</f>
        <v>8.9255094703950935</v>
      </c>
      <c r="AT34" s="17">
        <f t="array" ref="AT34">AVERAGE(IF($D$2:$D$1094=$AC34,IF($E$2:$E$1094=$AD34,IF(ISNUMBER($Z$2:$Z$1094)=TRUE,LN(100*10^($Z$2:$Z$1094*1.66956+1.732077))))))</f>
        <v>6.7084997324103783</v>
      </c>
      <c r="AU34" s="17">
        <v>6.2850720488084297</v>
      </c>
      <c r="AV34" s="17">
        <v>7.1260426512569701</v>
      </c>
      <c r="AW34" s="12">
        <f t="array" ref="AW34">AVERAGE(IF($D$2:$D$1094=$AC34,IF($E$2:$E$1094=$AD34,IF(ISNUMBER($AA$2:$AA$1094)=TRUE,10^($AA$2:$AA$1094*2.04+1.96)))))</f>
        <v>14.087393084086353</v>
      </c>
      <c r="AX34" s="13">
        <f t="array" ref="AX34">AVERAGE(IF($D$2:$D$1094=$AC34,IF($E$2:$E$1094=$AD34,IF(ISNUMBER($AA$2:$AA$1094)=TRUE,LN(100*10^($AA$2:$AA$1094*2.04+1.96))))))</f>
        <v>7.2219017954047962</v>
      </c>
      <c r="AY34" s="13">
        <v>6.7617267425066299</v>
      </c>
      <c r="AZ34" s="18">
        <v>7.6961880035486301</v>
      </c>
      <c r="BA34" s="12">
        <f t="array" ref="BA34">AVERAGE(IF($D$2:$D$1094=$AC34,IF($E$2:$E$1094=$AD34,IF(ISNUMBER($Z$2:$Z$1094)=TRUE,10^($Z$2:$Z$1094*2.04+1.96)))))</f>
        <v>10.315523952577388</v>
      </c>
      <c r="BB34" s="13">
        <f t="array" ref="BB34">AVERAGE(IF($D$2:$D$1094=$AC34,IF($E$2:$E$1094=$AD34,IF(ISNUMBER($Z$2:$Z$1094)=TRUE,LN(100*10^($Z$2:$Z$1094*2.04+1.96))))))</f>
        <v>6.8150868731781102</v>
      </c>
      <c r="BC34" s="13">
        <v>6.3059044153504598</v>
      </c>
      <c r="BD34" s="13">
        <v>7.3409392311109896</v>
      </c>
      <c r="BE34" s="8"/>
      <c r="BF34" s="17">
        <f t="shared" si="13"/>
        <v>-0.33294211840822641</v>
      </c>
      <c r="BG34" s="13">
        <f t="shared" si="14"/>
        <v>-0.40681492222668592</v>
      </c>
    </row>
    <row r="35" spans="1:60" x14ac:dyDescent="0.25">
      <c r="A35" s="6" t="str">
        <f t="shared" si="0"/>
        <v>fragment</v>
      </c>
      <c r="B35" s="6" t="s">
        <v>18</v>
      </c>
      <c r="C35" s="6" t="str">
        <f t="shared" si="1"/>
        <v>FU29 436</v>
      </c>
      <c r="D35" s="6" t="s">
        <v>17</v>
      </c>
      <c r="E35" s="20">
        <v>436</v>
      </c>
      <c r="F35" s="6" t="s">
        <v>24</v>
      </c>
      <c r="G35" s="6" t="s">
        <v>42</v>
      </c>
      <c r="H35" s="6" t="s">
        <v>974</v>
      </c>
      <c r="I35" s="6" t="s">
        <v>20</v>
      </c>
      <c r="J35" s="29"/>
      <c r="K35" s="8" t="str">
        <f t="shared" si="2"/>
        <v/>
      </c>
      <c r="L35" s="8" t="str">
        <f t="shared" si="3"/>
        <v/>
      </c>
      <c r="M35" s="8"/>
      <c r="N35" s="8"/>
      <c r="O35" s="8">
        <v>11.7</v>
      </c>
      <c r="P35" s="8">
        <f>1.673+3.597+3.312+2.877+1.097</f>
        <v>12.555999999999999</v>
      </c>
      <c r="Q35" s="8">
        <v>2.2709999999999999</v>
      </c>
      <c r="R35" s="8">
        <f>1.227+1.101+1.043</f>
        <v>3.3710000000000004</v>
      </c>
      <c r="S35" s="8"/>
      <c r="T35" s="8"/>
      <c r="U35" s="8"/>
      <c r="V35" s="8">
        <f t="shared" si="18"/>
        <v>1.0731623931623933</v>
      </c>
      <c r="W35" s="8">
        <f>R35/Q35</f>
        <v>1.4843681197710263</v>
      </c>
      <c r="X35" s="8"/>
      <c r="Y35" s="31">
        <f t="shared" si="4"/>
        <v>-0.10679082815503989</v>
      </c>
      <c r="Z35" s="31">
        <f t="shared" si="5"/>
        <v>-0.10679082815503989</v>
      </c>
      <c r="AA35" s="31" t="str">
        <f t="shared" si="6"/>
        <v/>
      </c>
      <c r="AB35" s="36"/>
      <c r="AC35" s="2" t="s">
        <v>795</v>
      </c>
      <c r="AD35" s="2">
        <v>87107</v>
      </c>
      <c r="AE35" s="2" t="str">
        <f t="shared" si="7"/>
        <v>HC62 87107</v>
      </c>
      <c r="AF35" s="2" t="s">
        <v>20</v>
      </c>
      <c r="AG35" s="6" t="s">
        <v>980</v>
      </c>
      <c r="AH35" s="2">
        <f t="shared" si="8"/>
        <v>18</v>
      </c>
      <c r="AI35" s="2">
        <f t="shared" si="9"/>
        <v>9</v>
      </c>
      <c r="AJ35" s="2">
        <f t="shared" si="10"/>
        <v>9</v>
      </c>
      <c r="AK35" s="14">
        <f t="shared" si="11"/>
        <v>14.843231111111114</v>
      </c>
      <c r="AL35" s="15">
        <f t="shared" si="12"/>
        <v>7.1382092859604613</v>
      </c>
      <c r="AM35" s="15">
        <f t="array" ref="AM35">STDEV(IF(C$2:C$1094=AE35,IF(L$2:L$1094&gt;0,L$2:L$1094)))/SQRT(AI35)</f>
        <v>0.21425186262223764</v>
      </c>
      <c r="AN35" s="15">
        <f t="shared" si="15"/>
        <v>0.21555446791713478</v>
      </c>
      <c r="AO35" s="16">
        <f t="array" ref="AO35">AVERAGE(IF($D$2:$D$1094=$AC35,IF($E$2:$E$1094=$AD35,IF(ISNUMBER($AA$2:$AA$1094)=TRUE,10^($AA$2:$AA$1094*1.66956+1.732077)))))</f>
        <v>9.17734776919864</v>
      </c>
      <c r="AP35" s="17">
        <f t="array" ref="AP35">AVERAGE(IF($D$2:$D$1094=$AC35,IF($E$2:$E$1094=$AD35,IF(ISNUMBER($AA$2:$AA$1094)=TRUE,LN(100*10^($AA$2:$AA$1094*1.66956+1.732077))))))</f>
        <v>6.7468234039652808</v>
      </c>
      <c r="AQ35" s="17">
        <v>6.3483803745781699</v>
      </c>
      <c r="AR35" s="19">
        <v>7.1469801048345598</v>
      </c>
      <c r="AS35" s="16">
        <f t="array" ref="AS35">AVERAGE(IF($D$2:$D$1094=$AC35,IF($E$2:$E$1094=$AD35,IF(ISNUMBER($Z$2:$Z$1094)=TRUE,10^($Z$2:$Z$1094*1.66956+1.732077)))))</f>
        <v>14.685687241567807</v>
      </c>
      <c r="AT35" s="17">
        <f t="array" ref="AT35">AVERAGE(IF($D$2:$D$1094=$AC35,IF($E$2:$E$1094=$AD35,IF(ISNUMBER($Z$2:$Z$1094)=TRUE,LN(100*10^($Z$2:$Z$1094*1.66956+1.732077))))))</f>
        <v>7.2735913674737231</v>
      </c>
      <c r="AU35" s="17">
        <v>6.8977047515729701</v>
      </c>
      <c r="AV35" s="17">
        <v>7.6504366375031703</v>
      </c>
      <c r="AW35" s="12">
        <f t="array" ref="AW35">AVERAGE(IF($D$2:$D$1094=$AC35,IF($E$2:$E$1094=$AD35,IF(ISNUMBER($AA$2:$AA$1094)=TRUE,10^($AA$2:$AA$1094*2.04+1.96)))))</f>
        <v>10.66615785344742</v>
      </c>
      <c r="AX35" s="13">
        <f t="array" ref="AX35">AVERAGE(IF($D$2:$D$1094=$AC35,IF($E$2:$E$1094=$AD35,IF(ISNUMBER($AA$2:$AA$1094)=TRUE,LN(100*10^($AA$2:$AA$1094*2.04+1.96))))))</f>
        <v>6.8619137556932648</v>
      </c>
      <c r="AY35" s="13">
        <v>6.3808547783063503</v>
      </c>
      <c r="AZ35" s="18">
        <v>7.3572250596535502</v>
      </c>
      <c r="BA35" s="12">
        <f t="array" ref="BA35">AVERAGE(IF($D$2:$D$1094=$AC35,IF($E$2:$E$1094=$AD35,IF(ISNUMBER($Z$2:$Z$1094)=TRUE,10^($Z$2:$Z$1094*2.04+1.96)))))</f>
        <v>18.682232936785795</v>
      </c>
      <c r="BB35" s="13">
        <f t="array" ref="BB35">AVERAGE(IF($D$2:$D$1094=$AC35,IF($E$2:$E$1094=$AD35,IF(ISNUMBER($Z$2:$Z$1094)=TRUE,LN(100*10^($Z$2:$Z$1094*2.04+1.96))))))</f>
        <v>7.5055603725008195</v>
      </c>
      <c r="BC35" s="13">
        <v>7.0488413507495196</v>
      </c>
      <c r="BD35" s="13">
        <v>7.9794903925808898</v>
      </c>
      <c r="BE35" s="8"/>
      <c r="BF35" s="17">
        <f t="shared" si="13"/>
        <v>0.52676796350844235</v>
      </c>
      <c r="BG35" s="13">
        <f t="shared" si="14"/>
        <v>0.64364661680755475</v>
      </c>
    </row>
    <row r="36" spans="1:60" x14ac:dyDescent="0.25">
      <c r="A36" s="6" t="str">
        <f t="shared" si="0"/>
        <v>fragment</v>
      </c>
      <c r="B36" s="6" t="s">
        <v>18</v>
      </c>
      <c r="C36" s="6" t="str">
        <f t="shared" si="1"/>
        <v>FU29 436</v>
      </c>
      <c r="D36" s="6" t="s">
        <v>17</v>
      </c>
      <c r="E36" s="20">
        <v>436</v>
      </c>
      <c r="F36" s="6" t="s">
        <v>24</v>
      </c>
      <c r="G36" s="6" t="s">
        <v>43</v>
      </c>
      <c r="H36" s="6" t="s">
        <v>974</v>
      </c>
      <c r="I36" s="6" t="s">
        <v>20</v>
      </c>
      <c r="J36" s="29"/>
      <c r="K36" s="8" t="str">
        <f t="shared" si="2"/>
        <v/>
      </c>
      <c r="L36" s="8" t="str">
        <f t="shared" si="3"/>
        <v/>
      </c>
      <c r="M36" s="8">
        <v>2.5750000000000002</v>
      </c>
      <c r="N36" s="8">
        <f>0.494+2.059+0.756</f>
        <v>3.3090000000000002</v>
      </c>
      <c r="O36" s="8">
        <v>2.4790000000000001</v>
      </c>
      <c r="P36" s="8">
        <f>0.812+1.218+1.028</f>
        <v>3.0580000000000003</v>
      </c>
      <c r="Q36" s="8"/>
      <c r="R36" s="8"/>
      <c r="S36" s="8"/>
      <c r="T36" s="8"/>
      <c r="U36" s="8">
        <f>N36/M36</f>
        <v>1.2850485436893204</v>
      </c>
      <c r="V36" s="8">
        <f t="shared" si="18"/>
        <v>1.2335619201290844</v>
      </c>
      <c r="W36" s="8"/>
      <c r="X36" s="8"/>
      <c r="Y36" s="31">
        <f t="shared" si="4"/>
        <v>-0.10013100768330251</v>
      </c>
      <c r="Z36" s="31">
        <f t="shared" si="5"/>
        <v>-0.10013100768330251</v>
      </c>
      <c r="AA36" s="31" t="str">
        <f t="shared" si="6"/>
        <v/>
      </c>
      <c r="AB36" s="36"/>
      <c r="AC36" s="2" t="s">
        <v>795</v>
      </c>
      <c r="AD36" s="2">
        <v>900</v>
      </c>
      <c r="AE36" s="2" t="str">
        <f t="shared" si="7"/>
        <v>HC62 900</v>
      </c>
      <c r="AF36" s="2" t="s">
        <v>20</v>
      </c>
      <c r="AG36" s="6" t="s">
        <v>977</v>
      </c>
      <c r="AH36" s="2">
        <f t="shared" si="8"/>
        <v>14</v>
      </c>
      <c r="AI36" s="2">
        <f t="shared" si="9"/>
        <v>8</v>
      </c>
      <c r="AJ36" s="2">
        <f t="shared" si="10"/>
        <v>6</v>
      </c>
      <c r="AK36" s="14">
        <f t="shared" si="11"/>
        <v>19.1495</v>
      </c>
      <c r="AL36" s="15">
        <f t="shared" si="12"/>
        <v>7.4744693463560665</v>
      </c>
      <c r="AM36" s="15">
        <f t="array" ref="AM36">STDEV(IF(C$2:C$1094=AE36,IF(L$2:L$1094&gt;0,L$2:L$1094)))/SQRT(AI36)</f>
        <v>0.1589023799475672</v>
      </c>
      <c r="AN36" s="15">
        <f t="shared" si="15"/>
        <v>0.16065439413518046</v>
      </c>
      <c r="AO36" s="16">
        <f t="array" ref="AO36">AVERAGE(IF($D$2:$D$1094=$AC36,IF($E$2:$E$1094=$AD36,IF(ISNUMBER($AA$2:$AA$1094)=TRUE,10^($AA$2:$AA$1094*1.66956+1.732077)))))</f>
        <v>14.132090396167715</v>
      </c>
      <c r="AP36" s="17">
        <f t="array" ref="AP36">AVERAGE(IF($D$2:$D$1094=$AC36,IF($E$2:$E$1094=$AD36,IF(ISNUMBER($AA$2:$AA$1094)=TRUE,LN(100*10^($AA$2:$AA$1094*1.66956+1.732077))))))</f>
        <v>7.1317549665108562</v>
      </c>
      <c r="AQ36" s="17">
        <v>6.71568530644406</v>
      </c>
      <c r="AR36" s="19">
        <v>7.5445264182552503</v>
      </c>
      <c r="AS36" s="16">
        <f t="array" ref="AS36">AVERAGE(IF($D$2:$D$1094=$AC36,IF($E$2:$E$1094=$AD36,IF(ISNUMBER($Z$2:$Z$1094)=TRUE,10^($Z$2:$Z$1094*1.66956+1.732077)))))</f>
        <v>19.4911754682736</v>
      </c>
      <c r="AT36" s="17">
        <f t="array" ref="AT36">AVERAGE(IF($D$2:$D$1094=$AC36,IF($E$2:$E$1094=$AD36,IF(ISNUMBER($Z$2:$Z$1094)=TRUE,LN(100*10^($Z$2:$Z$1094*1.66956+1.732077))))))</f>
        <v>7.4928642795197957</v>
      </c>
      <c r="AU36" s="17">
        <v>7.0852872756640597</v>
      </c>
      <c r="AV36" s="17">
        <v>7.9007612479317304</v>
      </c>
      <c r="AW36" s="12">
        <f t="array" ref="AW36">AVERAGE(IF($D$2:$D$1094=$AC36,IF($E$2:$E$1094=$AD36,IF(ISNUMBER($AA$2:$AA$1094)=TRUE,10^($AA$2:$AA$1094*2.04+1.96)))))</f>
        <v>18.323571222365615</v>
      </c>
      <c r="AX36" s="13">
        <f t="array" ref="AX36">AVERAGE(IF($D$2:$D$1094=$AC36,IF($E$2:$E$1094=$AD36,IF(ISNUMBER($AA$2:$AA$1094)=TRUE,LN(100*10^($AA$2:$AA$1094*2.04+1.96))))))</f>
        <v>7.3322534784902729</v>
      </c>
      <c r="AY36" s="13">
        <v>6.83094352074498</v>
      </c>
      <c r="AZ36" s="18">
        <v>7.85137775578439</v>
      </c>
      <c r="BA36" s="12">
        <f t="array" ref="BA36">AVERAGE(IF($D$2:$D$1094=$AC36,IF($E$2:$E$1094=$AD36,IF(ISNUMBER($Z$2:$Z$1094)=TRUE,10^($Z$2:$Z$1094*2.04+1.96)))))</f>
        <v>26.931161779144571</v>
      </c>
      <c r="BB36" s="13">
        <f t="array" ref="BB36">AVERAGE(IF($D$2:$D$1094=$AC36,IF($E$2:$E$1094=$AD36,IF(ISNUMBER($Z$2:$Z$1094)=TRUE,LN(100*10^($Z$2:$Z$1094*2.04+1.96))))))</f>
        <v>7.7734852991725107</v>
      </c>
      <c r="BC36" s="13">
        <v>7.2798097078297896</v>
      </c>
      <c r="BD36" s="13">
        <v>8.2858429368023607</v>
      </c>
      <c r="BE36" s="8"/>
      <c r="BF36" s="17">
        <f t="shared" si="13"/>
        <v>0.36110931300893956</v>
      </c>
      <c r="BG36" s="13">
        <f t="shared" si="14"/>
        <v>0.44123182068223787</v>
      </c>
    </row>
    <row r="37" spans="1:60" x14ac:dyDescent="0.25">
      <c r="A37" s="6" t="str">
        <f t="shared" si="0"/>
        <v>fragment</v>
      </c>
      <c r="B37" s="6" t="s">
        <v>18</v>
      </c>
      <c r="C37" s="6" t="str">
        <f t="shared" si="1"/>
        <v>FU29 436</v>
      </c>
      <c r="D37" s="6" t="s">
        <v>17</v>
      </c>
      <c r="E37" s="20">
        <v>436</v>
      </c>
      <c r="F37" s="6" t="s">
        <v>24</v>
      </c>
      <c r="G37" s="6" t="s">
        <v>44</v>
      </c>
      <c r="H37" s="6" t="s">
        <v>974</v>
      </c>
      <c r="I37" s="6" t="s">
        <v>20</v>
      </c>
      <c r="J37" s="29"/>
      <c r="K37" s="8" t="str">
        <f t="shared" si="2"/>
        <v/>
      </c>
      <c r="L37" s="8" t="str">
        <f t="shared" si="3"/>
        <v/>
      </c>
      <c r="M37" s="8"/>
      <c r="N37" s="8"/>
      <c r="O37" s="8">
        <v>12.045</v>
      </c>
      <c r="P37" s="8">
        <f>1.586 + 2.932 + 2.852 + 2.919 + 1.032</f>
        <v>11.321</v>
      </c>
      <c r="Q37" s="8">
        <v>7.1840000000000002</v>
      </c>
      <c r="R37" s="8">
        <f>0.729 + 2.06 + 2.379 + 2.571 + 0.914</f>
        <v>8.6530000000000005</v>
      </c>
      <c r="S37" s="8"/>
      <c r="T37" s="8"/>
      <c r="U37" s="8"/>
      <c r="V37" s="8">
        <f t="shared" si="18"/>
        <v>0.93989207139892073</v>
      </c>
      <c r="W37" s="8">
        <f>R37/Q37</f>
        <v>1.2044821826280625</v>
      </c>
      <c r="X37" s="8"/>
      <c r="Y37" s="31">
        <f t="shared" si="4"/>
        <v>-3.0270588656339158E-2</v>
      </c>
      <c r="Z37" s="31">
        <f t="shared" si="5"/>
        <v>-3.0270588656339158E-2</v>
      </c>
      <c r="AA37" s="31" t="str">
        <f t="shared" si="6"/>
        <v/>
      </c>
      <c r="AB37" s="36"/>
      <c r="AC37" s="2" t="s">
        <v>855</v>
      </c>
      <c r="AD37" s="2">
        <v>571</v>
      </c>
      <c r="AE37" s="2" t="str">
        <f t="shared" si="7"/>
        <v>HC64 571</v>
      </c>
      <c r="AF37" s="2" t="s">
        <v>5</v>
      </c>
      <c r="AG37" s="2" t="s">
        <v>977</v>
      </c>
      <c r="AH37" s="2">
        <f t="shared" si="8"/>
        <v>15</v>
      </c>
      <c r="AI37" s="2">
        <f t="shared" si="9"/>
        <v>6</v>
      </c>
      <c r="AJ37" s="2">
        <f t="shared" si="10"/>
        <v>9</v>
      </c>
      <c r="AK37" s="14">
        <f t="shared" si="11"/>
        <v>37.49933333333334</v>
      </c>
      <c r="AL37" s="15">
        <f t="shared" si="12"/>
        <v>8.1290777255959359</v>
      </c>
      <c r="AM37" s="15">
        <f t="array" ref="AM37">STDEV(IF(C$2:C$1094=AE37,IF(L$2:L$1094&gt;0,L$2:L$1094)))/SQRT(AI37)</f>
        <v>0.22353731284668563</v>
      </c>
      <c r="AN37" s="15">
        <f t="shared" si="15"/>
        <v>0.22478611664570813</v>
      </c>
      <c r="AO37" s="16">
        <f t="array" ref="AO37">AVERAGE(IF($D$2:$D$1094=$AC37,IF($E$2:$E$1094=$AD37,IF(ISNUMBER($AA$2:$AA$1094)=TRUE,10^($AA$2:$AA$1094*1.66956+1.732077)))))</f>
        <v>34.014071616329645</v>
      </c>
      <c r="AP37" s="17">
        <f t="array" ref="AP37">AVERAGE(IF($D$2:$D$1094=$AC37,IF($E$2:$E$1094=$AD37,IF(ISNUMBER($AA$2:$AA$1094)=TRUE,LN(100*10^($AA$2:$AA$1094*1.66956+1.732077))))))</f>
        <v>8.1016175842980491</v>
      </c>
      <c r="AQ37" s="17">
        <v>7.7194493737396597</v>
      </c>
      <c r="AR37" s="19">
        <v>8.4854835629294403</v>
      </c>
      <c r="AS37" s="16">
        <f t="array" ref="AS37">AVERAGE(IF($D$2:$D$1094=$AC37,IF($E$2:$E$1094=$AD37,IF(ISNUMBER($Z$2:$Z$1094)=TRUE,10^($Z$2:$Z$1094*1.66956+1.732077)))))</f>
        <v>31.337612802145916</v>
      </c>
      <c r="AT37" s="17">
        <f t="array" ref="AT37">AVERAGE(IF($D$2:$D$1094=$AC37,IF($E$2:$E$1094=$AD37,IF(ISNUMBER($Z$2:$Z$1094)=TRUE,LN(100*10^($Z$2:$Z$1094*1.66956+1.732077))))))</f>
        <v>7.976765712887639</v>
      </c>
      <c r="AU37" s="17">
        <v>7.5854830220451399</v>
      </c>
      <c r="AV37" s="17">
        <v>8.3669433624208907</v>
      </c>
      <c r="AW37" s="12">
        <f t="array" ref="AW37">AVERAGE(IF($D$2:$D$1094=$AC37,IF($E$2:$E$1094=$AD37,IF(ISNUMBER($AA$2:$AA$1094)=TRUE,10^($AA$2:$AA$1094*2.04+1.96)))))</f>
        <v>52.343455404539668</v>
      </c>
      <c r="AX37" s="13">
        <f t="array" ref="AX37">AVERAGE(IF($D$2:$D$1094=$AC37,IF($E$2:$E$1094=$AD37,IF(ISNUMBER($AA$2:$AA$1094)=TRUE,LN(100*10^($AA$2:$AA$1094*2.04+1.96))))))</f>
        <v>8.5173080678945947</v>
      </c>
      <c r="AY37" s="13">
        <v>8.0529532261356902</v>
      </c>
      <c r="AZ37" s="18">
        <v>8.9994916188684098</v>
      </c>
      <c r="BA37" s="12">
        <f t="array" ref="BA37">AVERAGE(IF($D$2:$D$1094=$AC37,IF($E$2:$E$1094=$AD37,IF(ISNUMBER($Z$2:$Z$1094)=TRUE,10^($Z$2:$Z$1094*2.04+1.96)))))</f>
        <v>47.89025674099743</v>
      </c>
      <c r="BB37" s="13">
        <f t="array" ref="BB37">AVERAGE(IF($D$2:$D$1094=$AC37,IF($E$2:$E$1094=$AD37,IF(ISNUMBER($Z$2:$Z$1094)=TRUE,LN(100*10^($Z$2:$Z$1094*2.04+1.96))))))</f>
        <v>8.3647542107841915</v>
      </c>
      <c r="BC37" s="13">
        <v>7.8948441446132902</v>
      </c>
      <c r="BD37" s="13">
        <v>8.8550509834136104</v>
      </c>
      <c r="BE37" s="8"/>
      <c r="BF37" s="17">
        <f t="shared" si="13"/>
        <v>-0.1248518714104101</v>
      </c>
      <c r="BG37" s="13">
        <f t="shared" si="14"/>
        <v>-0.15255385711040326</v>
      </c>
    </row>
    <row r="38" spans="1:60" x14ac:dyDescent="0.25">
      <c r="A38" s="6" t="str">
        <f t="shared" si="0"/>
        <v>complete</v>
      </c>
      <c r="B38" s="6" t="s">
        <v>18</v>
      </c>
      <c r="C38" s="6" t="str">
        <f t="shared" si="1"/>
        <v>FU29 436</v>
      </c>
      <c r="D38" s="6" t="s">
        <v>17</v>
      </c>
      <c r="E38" s="20">
        <v>436</v>
      </c>
      <c r="F38" s="6" t="s">
        <v>24</v>
      </c>
      <c r="G38" s="6" t="s">
        <v>45</v>
      </c>
      <c r="H38" s="6" t="s">
        <v>974</v>
      </c>
      <c r="I38" s="6" t="s">
        <v>20</v>
      </c>
      <c r="J38" s="29">
        <v>38.499200000000002</v>
      </c>
      <c r="K38" s="8">
        <f t="shared" si="2"/>
        <v>1.5854517051138177</v>
      </c>
      <c r="L38" s="8">
        <f t="shared" si="3"/>
        <v>8.2558076478451596</v>
      </c>
      <c r="M38" s="8"/>
      <c r="N38" s="8"/>
      <c r="O38" s="8">
        <v>6.8949999999999996</v>
      </c>
      <c r="P38" s="8">
        <f>0.659 + 1.847 + 2.008 + 2.201 + 1.43</f>
        <v>8.1449999999999996</v>
      </c>
      <c r="Q38" s="8"/>
      <c r="R38" s="8"/>
      <c r="S38" s="8">
        <v>5.95</v>
      </c>
      <c r="T38" s="8">
        <f>0.656 + 1.776 + 2.1 + 1.296</f>
        <v>5.8280000000000003</v>
      </c>
      <c r="U38" s="8"/>
      <c r="V38" s="8">
        <f t="shared" si="18"/>
        <v>1.1812907904278462</v>
      </c>
      <c r="W38" s="8"/>
      <c r="X38" s="8">
        <f t="shared" ref="X38:X44" si="19">T38/S38</f>
        <v>0.97949579831932776</v>
      </c>
      <c r="Y38" s="31">
        <f t="shared" si="4"/>
        <v>-3.3581880008576571E-2</v>
      </c>
      <c r="Z38" s="31" t="str">
        <f t="shared" si="5"/>
        <v/>
      </c>
      <c r="AA38" s="31">
        <f t="shared" si="6"/>
        <v>-3.3581880008576571E-2</v>
      </c>
      <c r="AB38" s="36"/>
      <c r="AC38" s="2" t="s">
        <v>871</v>
      </c>
      <c r="AD38" s="2">
        <v>87107</v>
      </c>
      <c r="AE38" s="2" t="str">
        <f t="shared" si="7"/>
        <v>HC66 87107</v>
      </c>
      <c r="AF38" s="2" t="s">
        <v>20</v>
      </c>
      <c r="AG38" s="6" t="s">
        <v>980</v>
      </c>
      <c r="AH38" s="2">
        <f t="shared" si="8"/>
        <v>14</v>
      </c>
      <c r="AI38" s="2">
        <f t="shared" si="9"/>
        <v>5</v>
      </c>
      <c r="AJ38" s="2">
        <f t="shared" si="10"/>
        <v>9</v>
      </c>
      <c r="AK38" s="14">
        <f t="shared" si="11"/>
        <v>53.77834399999999</v>
      </c>
      <c r="AL38" s="15">
        <f t="shared" si="12"/>
        <v>8.5484050000837719</v>
      </c>
      <c r="AM38" s="15">
        <f t="array" ref="AM38">STDEV(IF(C$2:C$1094=AE38,IF(L$2:L$1094&gt;0,L$2:L$1094)))/SQRT(AI38)</f>
        <v>0.14822672802818118</v>
      </c>
      <c r="AN38" s="15">
        <f t="shared" si="15"/>
        <v>0.15010340070725012</v>
      </c>
      <c r="AO38" s="16">
        <f t="array" ref="AO38">AVERAGE(IF($D$2:$D$1094=$AC38,IF($E$2:$E$1094=$AD38,IF(ISNUMBER($AA$2:$AA$1094)=TRUE,10^($AA$2:$AA$1094*1.66956+1.732077)))))</f>
        <v>38.932325817108278</v>
      </c>
      <c r="AP38" s="17">
        <f t="array" ref="AP38">AVERAGE(IF($D$2:$D$1094=$AC38,IF($E$2:$E$1094=$AD38,IF(ISNUMBER($AA$2:$AA$1094)=TRUE,LN(100*10^($AA$2:$AA$1094*1.66956+1.732077))))))</f>
        <v>8.2385081337813428</v>
      </c>
      <c r="AQ38" s="17">
        <v>7.8504287525710996</v>
      </c>
      <c r="AR38" s="19">
        <v>8.6263448940982705</v>
      </c>
      <c r="AS38" s="16">
        <f t="array" ref="AS38">AVERAGE(IF($D$2:$D$1094=$AC38,IF($E$2:$E$1094=$AD38,IF(ISNUMBER($Z$2:$Z$1094)=TRUE,10^($Z$2:$Z$1094*1.66956+1.732077)))))</f>
        <v>41.517255950715537</v>
      </c>
      <c r="AT38" s="17">
        <f t="array" ref="AT38">AVERAGE(IF($D$2:$D$1094=$AC38,IF($E$2:$E$1094=$AD38,IF(ISNUMBER($Z$2:$Z$1094)=TRUE,LN(100*10^($Z$2:$Z$1094*1.66956+1.732077))))))</f>
        <v>8.2608537434560745</v>
      </c>
      <c r="AU38" s="17">
        <v>7.86636853682921</v>
      </c>
      <c r="AV38" s="17">
        <v>8.6555319492524507</v>
      </c>
      <c r="AW38" s="12">
        <f t="array" ref="AW38">AVERAGE(IF($D$2:$D$1094=$AC38,IF($E$2:$E$1094=$AD38,IF(ISNUMBER($AA$2:$AA$1094)=TRUE,10^($AA$2:$AA$1094*2.04+1.96)))))</f>
        <v>61.661818513730942</v>
      </c>
      <c r="AX38" s="13">
        <f t="array" ref="AX38">AVERAGE(IF($D$2:$D$1094=$AC38,IF($E$2:$E$1094=$AD38,IF(ISNUMBER($AA$2:$AA$1094)=TRUE,LN(100*10^($AA$2:$AA$1094*2.04+1.96))))))</f>
        <v>8.6845717307434374</v>
      </c>
      <c r="AY38" s="13">
        <v>8.2167669082254697</v>
      </c>
      <c r="AZ38" s="18">
        <v>9.1708994258392895</v>
      </c>
      <c r="BA38" s="12">
        <f t="array" ref="BA38">AVERAGE(IF($D$2:$D$1094=$AC38,IF($E$2:$E$1094=$AD38,IF(ISNUMBER($Z$2:$Z$1094)=TRUE,10^($Z$2:$Z$1094*2.04+1.96)))))</f>
        <v>67.300102723151767</v>
      </c>
      <c r="BB38" s="13">
        <f t="array" ref="BB38">AVERAGE(IF($D$2:$D$1094=$AC38,IF($E$2:$E$1094=$AD38,IF(ISNUMBER($Z$2:$Z$1094)=TRUE,LN(100*10^($Z$2:$Z$1094*2.04+1.96))))))</f>
        <v>8.7118753578885872</v>
      </c>
      <c r="BC38" s="13">
        <v>8.2387610549682808</v>
      </c>
      <c r="BD38" s="13">
        <v>9.2100562061319504</v>
      </c>
      <c r="BE38" s="8"/>
      <c r="BF38" s="17">
        <f t="shared" si="13"/>
        <v>2.2345609674731648E-2</v>
      </c>
      <c r="BG38" s="13">
        <f t="shared" si="14"/>
        <v>2.7303627145149889E-2</v>
      </c>
    </row>
    <row r="39" spans="1:60" x14ac:dyDescent="0.25">
      <c r="A39" s="6" t="str">
        <f t="shared" si="0"/>
        <v>fragment</v>
      </c>
      <c r="B39" s="6" t="s">
        <v>18</v>
      </c>
      <c r="C39" s="6" t="str">
        <f t="shared" si="1"/>
        <v>FU29 436</v>
      </c>
      <c r="D39" s="6" t="s">
        <v>17</v>
      </c>
      <c r="E39" s="20">
        <v>436</v>
      </c>
      <c r="F39" s="6" t="s">
        <v>24</v>
      </c>
      <c r="G39" s="6" t="s">
        <v>46</v>
      </c>
      <c r="H39" s="6" t="s">
        <v>974</v>
      </c>
      <c r="I39" s="6" t="s">
        <v>20</v>
      </c>
      <c r="J39" s="29"/>
      <c r="K39" s="8" t="str">
        <f t="shared" si="2"/>
        <v/>
      </c>
      <c r="L39" s="8" t="str">
        <f t="shared" si="3"/>
        <v/>
      </c>
      <c r="M39" s="8"/>
      <c r="N39" s="8"/>
      <c r="O39" s="8"/>
      <c r="P39" s="8"/>
      <c r="Q39" s="8">
        <v>1.5680000000000001</v>
      </c>
      <c r="R39" s="8">
        <f>0.717 + 0.869 + 0.896</f>
        <v>2.4819999999999998</v>
      </c>
      <c r="S39" s="8">
        <v>3.9849999999999999</v>
      </c>
      <c r="T39" s="8">
        <f>0.43 + 1.3 + 1.384 + 1.607 + 0.685</f>
        <v>5.4060000000000006</v>
      </c>
      <c r="U39" s="8"/>
      <c r="V39" s="8"/>
      <c r="W39" s="8">
        <f>R39/Q39</f>
        <v>1.5829081632653059</v>
      </c>
      <c r="X39" s="8">
        <f t="shared" si="19"/>
        <v>1.3565872020075285</v>
      </c>
      <c r="Y39" s="31">
        <f t="shared" si="4"/>
        <v>-0.16724278410588203</v>
      </c>
      <c r="Z39" s="31">
        <f t="shared" si="5"/>
        <v>-0.16724278410588203</v>
      </c>
      <c r="AA39" s="31" t="str">
        <f t="shared" si="6"/>
        <v/>
      </c>
      <c r="AB39" s="36"/>
      <c r="AC39" s="2" t="s">
        <v>878</v>
      </c>
      <c r="AD39" s="2">
        <v>2203</v>
      </c>
      <c r="AE39" s="2" t="str">
        <f t="shared" si="7"/>
        <v>HC81 2203</v>
      </c>
      <c r="AF39" s="2" t="s">
        <v>5</v>
      </c>
      <c r="AG39" s="6" t="s">
        <v>977</v>
      </c>
      <c r="AH39" s="2">
        <f t="shared" si="8"/>
        <v>20</v>
      </c>
      <c r="AI39" s="2">
        <f t="shared" si="9"/>
        <v>13</v>
      </c>
      <c r="AJ39" s="2">
        <f t="shared" si="10"/>
        <v>7</v>
      </c>
      <c r="AK39" s="14">
        <f t="shared" si="11"/>
        <v>3.7177692307692309</v>
      </c>
      <c r="AL39" s="15">
        <f t="shared" si="12"/>
        <v>5.6340883645305881</v>
      </c>
      <c r="AM39" s="15">
        <f t="array" ref="AM39">STDEV(IF(C$2:C$1094=AE39,IF(L$2:L$1094&gt;0,L$2:L$1094)))/SQRT(AI39)</f>
        <v>0.21670002978255778</v>
      </c>
      <c r="AN39" s="15">
        <f t="shared" si="15"/>
        <v>0.21798800634370308</v>
      </c>
      <c r="AO39" s="16">
        <f t="array" ref="AO39">AVERAGE(IF($D$2:$D$1094=$AC39,IF($E$2:$E$1094=$AD39,IF(ISNUMBER($AA$2:$AA$1094)=TRUE,10^($AA$2:$AA$1094*1.66956+1.732077)))))</f>
        <v>7.0795482136508232</v>
      </c>
      <c r="AP39" s="17">
        <f t="array" ref="AP39">AVERAGE(IF($D$2:$D$1094=$AC39,IF($E$2:$E$1094=$AD39,IF(ISNUMBER($AA$2:$AA$1094)=TRUE,LN(100*10^($AA$2:$AA$1094*1.66956+1.732077))))))</f>
        <v>6.3759457415000602</v>
      </c>
      <c r="AQ39" s="17">
        <v>5.9663773551608204</v>
      </c>
      <c r="AR39" s="19">
        <v>6.7925218544445398</v>
      </c>
      <c r="AS39" s="16">
        <f t="array" ref="AS39">AVERAGE(IF($D$2:$D$1094=$AC39,IF($E$2:$E$1094=$AD39,IF(ISNUMBER($Z$2:$Z$1094)=TRUE,10^($Z$2:$Z$1094*1.66956+1.732077)))))</f>
        <v>9.2413948043360516</v>
      </c>
      <c r="AT39" s="17">
        <f t="array" ref="AT39">AVERAGE(IF($D$2:$D$1094=$AC39,IF($E$2:$E$1094=$AD39,IF(ISNUMBER($Z$2:$Z$1094)=TRUE,LN(100*10^($Z$2:$Z$1094*1.66956+1.732077))))))</f>
        <v>6.8117632922240761</v>
      </c>
      <c r="AU39" s="17">
        <v>6.4347379130325599</v>
      </c>
      <c r="AV39" s="17">
        <v>7.1904270127266301</v>
      </c>
      <c r="AW39" s="12">
        <f t="array" ref="AW39">AVERAGE(IF($D$2:$D$1094=$AC39,IF($E$2:$E$1094=$AD39,IF(ISNUMBER($AA$2:$AA$1094)=TRUE,10^($AA$2:$AA$1094*2.04+1.96)))))</f>
        <v>7.9861183556517972</v>
      </c>
      <c r="AX39" s="13">
        <f t="array" ref="AX39">AVERAGE(IF($D$2:$D$1094=$AC39,IF($E$2:$E$1094=$AD39,IF(ISNUMBER($AA$2:$AA$1094)=TRUE,LN(100*10^($AA$2:$AA$1094*2.04+1.96))))))</f>
        <v>6.4087461957199485</v>
      </c>
      <c r="AY39" s="13">
        <v>5.9099132808745596</v>
      </c>
      <c r="AZ39" s="18">
        <v>6.9238164253105099</v>
      </c>
      <c r="BA39" s="12">
        <f t="array" ref="BA39">AVERAGE(IF($D$2:$D$1094=$AC39,IF($E$2:$E$1094=$AD39,IF(ISNUMBER($Z$2:$Z$1094)=TRUE,10^($Z$2:$Z$1094*2.04+1.96)))))</f>
        <v>10.609221735907637</v>
      </c>
      <c r="BB39" s="13">
        <f t="array" ref="BB39">AVERAGE(IF($D$2:$D$1094=$AC39,IF($E$2:$E$1094=$AD39,IF(ISNUMBER($Z$2:$Z$1094)=TRUE,LN(100*10^($Z$2:$Z$1094*2.04+1.96))))))</f>
        <v>6.9412624296240866</v>
      </c>
      <c r="BC39" s="13">
        <v>6.4835347650255697</v>
      </c>
      <c r="BD39" s="13">
        <v>7.4130459438748604</v>
      </c>
      <c r="BE39" s="8"/>
      <c r="BF39" s="17">
        <f t="shared" si="13"/>
        <v>0.43581755072401585</v>
      </c>
      <c r="BG39" s="13">
        <f t="shared" si="14"/>
        <v>0.53251623390413805</v>
      </c>
    </row>
    <row r="40" spans="1:60" x14ac:dyDescent="0.25">
      <c r="A40" s="6" t="str">
        <f t="shared" si="0"/>
        <v>fragment</v>
      </c>
      <c r="B40" s="6" t="s">
        <v>18</v>
      </c>
      <c r="C40" s="6" t="str">
        <f t="shared" si="1"/>
        <v>FU29 436</v>
      </c>
      <c r="D40" s="6" t="s">
        <v>17</v>
      </c>
      <c r="E40" s="20">
        <v>436</v>
      </c>
      <c r="F40" s="6" t="s">
        <v>24</v>
      </c>
      <c r="G40" s="6" t="s">
        <v>945</v>
      </c>
      <c r="H40" s="6" t="s">
        <v>974</v>
      </c>
      <c r="I40" s="6" t="s">
        <v>20</v>
      </c>
      <c r="J40" s="29"/>
      <c r="K40" s="8" t="str">
        <f t="shared" si="2"/>
        <v/>
      </c>
      <c r="L40" s="8" t="str">
        <f t="shared" si="3"/>
        <v/>
      </c>
      <c r="M40" s="8"/>
      <c r="N40" s="8"/>
      <c r="O40" s="8">
        <v>6.1310000000000002</v>
      </c>
      <c r="P40" s="8">
        <f>1.5+1.947+0.279+0.964</f>
        <v>4.6899999999999995</v>
      </c>
      <c r="Q40" s="8"/>
      <c r="R40" s="8"/>
      <c r="S40" s="8">
        <v>12.239000000000001</v>
      </c>
      <c r="T40" s="8">
        <f>1.718+1.606+3.138+2.749+0.742</f>
        <v>9.9529999999999994</v>
      </c>
      <c r="U40" s="8"/>
      <c r="V40" s="8">
        <f>P40/O40</f>
        <v>0.76496493231120521</v>
      </c>
      <c r="W40" s="8"/>
      <c r="X40" s="8">
        <f t="shared" si="19"/>
        <v>0.81322003431652901</v>
      </c>
      <c r="Y40" s="31">
        <f t="shared" si="4"/>
        <v>0.10287209357248413</v>
      </c>
      <c r="Z40" s="31">
        <f t="shared" si="5"/>
        <v>0.10287209357248413</v>
      </c>
      <c r="AA40" s="31" t="str">
        <f t="shared" si="6"/>
        <v/>
      </c>
      <c r="AB40" s="36"/>
      <c r="AC40" s="2" t="s">
        <v>900</v>
      </c>
      <c r="AD40" s="2">
        <v>430</v>
      </c>
      <c r="AE40" s="2" t="str">
        <f t="shared" si="7"/>
        <v>HC86 430</v>
      </c>
      <c r="AF40" s="2" t="s">
        <v>20</v>
      </c>
      <c r="AG40" s="6" t="s">
        <v>977</v>
      </c>
      <c r="AH40" s="2">
        <f t="shared" si="8"/>
        <v>25</v>
      </c>
      <c r="AI40" s="2">
        <f t="shared" si="9"/>
        <v>5</v>
      </c>
      <c r="AJ40" s="2">
        <f t="shared" si="10"/>
        <v>20</v>
      </c>
      <c r="AK40" s="14">
        <f t="shared" si="11"/>
        <v>89.313400000000016</v>
      </c>
      <c r="AL40" s="15">
        <f t="shared" si="12"/>
        <v>9.0379383136786799</v>
      </c>
      <c r="AM40" s="15">
        <f t="array" ref="AM40">STDEV(IF(C$2:C$1094=AE40,IF(L$2:L$1094&gt;0,L$2:L$1094)))/SQRT(AI40)</f>
        <v>0.17779869377790858</v>
      </c>
      <c r="AN40" s="15">
        <f t="shared" si="15"/>
        <v>0.17936622734247215</v>
      </c>
      <c r="AO40" s="16">
        <f t="array" ref="AO40">AVERAGE(IF($D$2:$D$1094=$AC40,IF($E$2:$E$1094=$AD40,IF(ISNUMBER($AA$2:$AA$1094)=TRUE,10^($AA$2:$AA$1094*1.66956+1.732077)))))</f>
        <v>55.655886370569576</v>
      </c>
      <c r="AP40" s="17">
        <f t="array" ref="AP40">AVERAGE(IF($D$2:$D$1094=$AC40,IF($E$2:$E$1094=$AD40,IF(ISNUMBER($AA$2:$AA$1094)=TRUE,LN(100*10^($AA$2:$AA$1094*1.66956+1.732077))))))</f>
        <v>8.5784228271287084</v>
      </c>
      <c r="AQ40" s="17">
        <v>8.1769445407504406</v>
      </c>
      <c r="AR40" s="19">
        <v>8.98194227452184</v>
      </c>
      <c r="AS40" s="16">
        <f t="array" ref="AS40">AVERAGE(IF($D$2:$D$1094=$AC40,IF($E$2:$E$1094=$AD40,IF(ISNUMBER($Z$2:$Z$1094)=TRUE,10^($Z$2:$Z$1094*1.66956+1.732077)))))</f>
        <v>46.857675939275715</v>
      </c>
      <c r="AT40" s="17">
        <f t="array" ref="AT40">AVERAGE(IF($D$2:$D$1094=$AC40,IF($E$2:$E$1094=$AD40,IF(ISNUMBER($Z$2:$Z$1094)=TRUE,LN(100*10^($Z$2:$Z$1094*1.66956+1.732077))))))</f>
        <v>8.3981605984744139</v>
      </c>
      <c r="AU40" s="17">
        <v>8.0249882335516105</v>
      </c>
      <c r="AV40" s="17">
        <v>8.77130444269498</v>
      </c>
      <c r="AW40" s="12">
        <f t="array" ref="AW40">AVERAGE(IF($D$2:$D$1094=$AC40,IF($E$2:$E$1094=$AD40,IF(ISNUMBER($AA$2:$AA$1094)=TRUE,10^($AA$2:$AA$1094*2.04+1.96)))))</f>
        <v>95.727797289913553</v>
      </c>
      <c r="AX40" s="13">
        <f t="array" ref="AX40">AVERAGE(IF($D$2:$D$1094=$AC40,IF($E$2:$E$1094=$AD40,IF(ISNUMBER($AA$2:$AA$1094)=TRUE,LN(100*10^($AA$2:$AA$1094*2.04+1.96))))))</f>
        <v>9.099906294597762</v>
      </c>
      <c r="AY40" s="13">
        <v>8.6139718618307093</v>
      </c>
      <c r="AZ40" s="18">
        <v>9.6062635699701495</v>
      </c>
      <c r="BA40" s="12">
        <f t="array" ref="BA40">AVERAGE(IF($D$2:$D$1094=$AC40,IF($E$2:$E$1094=$AD40,IF(ISNUMBER($Z$2:$Z$1094)=TRUE,10^($Z$2:$Z$1094*2.04+1.96)))))</f>
        <v>77.90239367830516</v>
      </c>
      <c r="BB40" s="13">
        <f t="array" ref="BB40">AVERAGE(IF($D$2:$D$1094=$AC40,IF($E$2:$E$1094=$AD40,IF(ISNUMBER($Z$2:$Z$1094)=TRUE,LN(100*10^($Z$2:$Z$1094*2.04+1.96))))))</f>
        <v>8.8796476956526735</v>
      </c>
      <c r="BC40" s="13">
        <v>8.4266160415573896</v>
      </c>
      <c r="BD40" s="13">
        <v>9.3527194570953291</v>
      </c>
      <c r="BE40" s="8"/>
      <c r="BF40" s="17">
        <f t="shared" si="13"/>
        <v>-0.18026222865429453</v>
      </c>
      <c r="BG40" s="13">
        <f t="shared" si="14"/>
        <v>-0.22025859894508848</v>
      </c>
    </row>
    <row r="41" spans="1:60" x14ac:dyDescent="0.25">
      <c r="A41" s="6" t="str">
        <f t="shared" si="0"/>
        <v>complete</v>
      </c>
      <c r="B41" s="6" t="s">
        <v>18</v>
      </c>
      <c r="C41" s="6" t="str">
        <f t="shared" si="1"/>
        <v>FU29 436</v>
      </c>
      <c r="D41" s="6" t="s">
        <v>17</v>
      </c>
      <c r="E41" s="20">
        <v>436</v>
      </c>
      <c r="F41" s="6" t="s">
        <v>24</v>
      </c>
      <c r="G41" s="6" t="s">
        <v>944</v>
      </c>
      <c r="H41" s="6" t="s">
        <v>974</v>
      </c>
      <c r="I41" s="6" t="s">
        <v>20</v>
      </c>
      <c r="J41" s="29">
        <v>63.125</v>
      </c>
      <c r="K41" s="8">
        <f t="shared" si="2"/>
        <v>1.8002013911267178</v>
      </c>
      <c r="L41" s="8">
        <f t="shared" si="3"/>
        <v>8.7502870735836158</v>
      </c>
      <c r="M41" s="8"/>
      <c r="N41" s="8"/>
      <c r="O41" s="8">
        <v>7.7649999999999997</v>
      </c>
      <c r="P41" s="8">
        <f>1.268+2.792+1.899</f>
        <v>5.9589999999999996</v>
      </c>
      <c r="Q41" s="8"/>
      <c r="R41" s="8"/>
      <c r="S41" s="8">
        <v>9.2710000000000008</v>
      </c>
      <c r="T41" s="8">
        <f>1.402+2.34+2.993+1.139</f>
        <v>7.8739999999999997</v>
      </c>
      <c r="U41" s="8"/>
      <c r="V41" s="8">
        <f>P41/O41</f>
        <v>0.76741790083708949</v>
      </c>
      <c r="W41" s="8"/>
      <c r="X41" s="8">
        <f t="shared" si="19"/>
        <v>0.84931506849315053</v>
      </c>
      <c r="Y41" s="31">
        <f t="shared" si="4"/>
        <v>9.2391700880055661E-2</v>
      </c>
      <c r="Z41" s="31" t="str">
        <f t="shared" si="5"/>
        <v/>
      </c>
      <c r="AA41" s="31">
        <f t="shared" si="6"/>
        <v>9.2391700880055661E-2</v>
      </c>
      <c r="AB41" s="36"/>
      <c r="AC41" s="6" t="s">
        <v>900</v>
      </c>
      <c r="AD41" s="6">
        <v>571</v>
      </c>
      <c r="AE41" s="2" t="str">
        <f t="shared" si="7"/>
        <v>HC86 571</v>
      </c>
      <c r="AF41" s="2" t="s">
        <v>5</v>
      </c>
      <c r="AG41" s="2" t="s">
        <v>977</v>
      </c>
      <c r="AH41" s="2">
        <f t="shared" si="8"/>
        <v>8</v>
      </c>
      <c r="AI41" s="2">
        <f t="shared" si="9"/>
        <v>4</v>
      </c>
      <c r="AJ41" s="2">
        <f t="shared" si="10"/>
        <v>4</v>
      </c>
      <c r="AK41" s="14">
        <f t="shared" si="11"/>
        <v>69.610489999999999</v>
      </c>
      <c r="AL41" s="15">
        <f t="shared" si="12"/>
        <v>8.7787771436810136</v>
      </c>
      <c r="AM41" s="15">
        <f t="array" ref="AM41">STDEV(IF(C$2:C$1094=AE41,IF(L$2:L$1094&gt;0,L$2:L$1094)))/SQRT(AI41)</f>
        <v>0.21672982578071318</v>
      </c>
      <c r="AN41" s="15">
        <f t="shared" si="15"/>
        <v>0.21801762631695443</v>
      </c>
      <c r="AO41" s="16">
        <f t="array" ref="AO41">AVERAGE(IF($D$2:$D$1094=$AC41,IF($E$2:$E$1094=$AD41,IF(ISNUMBER($AA$2:$AA$1094)=TRUE,10^($AA$2:$AA$1094*1.66956+1.732077)))))</f>
        <v>38.823311082833619</v>
      </c>
      <c r="AP41" s="17">
        <f t="array" ref="AP41">AVERAGE(IF($D$2:$D$1094=$AC41,IF($E$2:$E$1094=$AD41,IF(ISNUMBER($AA$2:$AA$1094)=TRUE,LN(100*10^($AA$2:$AA$1094*1.66956+1.732077))))))</f>
        <v>8.1998354327660827</v>
      </c>
      <c r="AQ41" s="17">
        <v>7.7790419141051803</v>
      </c>
      <c r="AR41" s="19">
        <v>8.6224183006301693</v>
      </c>
      <c r="AS41" s="16">
        <f t="array" ref="AS41">AVERAGE(IF($D$2:$D$1094=$AC41,IF($E$2:$E$1094=$AD41,IF(ISNUMBER($Z$2:$Z$1094)=TRUE,10^($Z$2:$Z$1094*1.66956+1.732077)))))</f>
        <v>88.126533691051591</v>
      </c>
      <c r="AT41" s="17">
        <f t="array" ref="AT41">AVERAGE(IF($D$2:$D$1094=$AC41,IF($E$2:$E$1094=$AD41,IF(ISNUMBER($Z$2:$Z$1094)=TRUE,LN(100*10^($Z$2:$Z$1094*1.66956+1.732077))))))</f>
        <v>9.0066046454286504</v>
      </c>
      <c r="AU41" s="17">
        <v>8.5769722018841303</v>
      </c>
      <c r="AV41" s="17">
        <v>9.4359083940578792</v>
      </c>
      <c r="AW41" s="12">
        <f t="array" ref="AW41">AVERAGE(IF($D$2:$D$1094=$AC41,IF($E$2:$E$1094=$AD41,IF(ISNUMBER($AA$2:$AA$1094)=TRUE,10^($AA$2:$AA$1094*2.04+1.96)))))</f>
        <v>61.998064321437226</v>
      </c>
      <c r="AX41" s="13">
        <f t="array" ref="AX41">AVERAGE(IF($D$2:$D$1094=$AC41,IF($E$2:$E$1094=$AD41,IF(ISNUMBER($AA$2:$AA$1094)=TRUE,LN(100*10^($AA$2:$AA$1094*2.04+1.96))))))</f>
        <v>8.6373183765236838</v>
      </c>
      <c r="AY41" s="13">
        <v>8.1282476111624007</v>
      </c>
      <c r="AZ41" s="18">
        <v>9.1660371655078201</v>
      </c>
      <c r="BA41" s="12">
        <f t="array" ref="BA41">AVERAGE(IF($D$2:$D$1094=$AC41,IF($E$2:$E$1094=$AD41,IF(ISNUMBER($Z$2:$Z$1094)=TRUE,10^($Z$2:$Z$1094*2.04+1.96)))))</f>
        <v>169.5592731910543</v>
      </c>
      <c r="BB41" s="13">
        <f t="array" ref="BB41">AVERAGE(IF($D$2:$D$1094=$AC41,IF($E$2:$E$1094=$AD41,IF(ISNUMBER($Z$2:$Z$1094)=TRUE,LN(100*10^($Z$2:$Z$1094*2.04+1.96))))))</f>
        <v>9.6230925887901719</v>
      </c>
      <c r="BC41" s="13">
        <v>9.1011243592379394</v>
      </c>
      <c r="BD41" s="13">
        <v>10.1616140516849</v>
      </c>
      <c r="BE41" s="8"/>
      <c r="BF41" s="17">
        <f t="shared" si="13"/>
        <v>0.80676921266256763</v>
      </c>
      <c r="BG41" s="13">
        <f t="shared" si="14"/>
        <v>0.98577421226648809</v>
      </c>
    </row>
    <row r="42" spans="1:60" x14ac:dyDescent="0.25">
      <c r="A42" s="6" t="str">
        <f t="shared" si="0"/>
        <v>fragment</v>
      </c>
      <c r="B42" s="6" t="s">
        <v>18</v>
      </c>
      <c r="C42" s="6" t="str">
        <f t="shared" si="1"/>
        <v>FU29 436</v>
      </c>
      <c r="D42" s="6" t="s">
        <v>17</v>
      </c>
      <c r="E42" s="20">
        <v>436</v>
      </c>
      <c r="F42" s="6" t="s">
        <v>24</v>
      </c>
      <c r="G42" s="6" t="s">
        <v>47</v>
      </c>
      <c r="H42" s="6" t="s">
        <v>974</v>
      </c>
      <c r="I42" s="6" t="s">
        <v>20</v>
      </c>
      <c r="J42" s="29"/>
      <c r="K42" s="8" t="str">
        <f t="shared" si="2"/>
        <v/>
      </c>
      <c r="L42" s="8" t="str">
        <f t="shared" si="3"/>
        <v/>
      </c>
      <c r="M42" s="8"/>
      <c r="N42" s="8"/>
      <c r="O42" s="8">
        <v>1.046</v>
      </c>
      <c r="P42" s="8">
        <f>0.916+0.856</f>
        <v>1.772</v>
      </c>
      <c r="Q42" s="8">
        <v>0.73099999999999998</v>
      </c>
      <c r="R42" s="8">
        <f>0.558+0.571+0.458</f>
        <v>1.587</v>
      </c>
      <c r="S42" s="8">
        <v>1.167</v>
      </c>
      <c r="T42" s="8">
        <f>0.342+0.879+0.431</f>
        <v>1.6520000000000001</v>
      </c>
      <c r="U42" s="8"/>
      <c r="V42" s="8">
        <f>P42/O42</f>
        <v>1.6940726577437859</v>
      </c>
      <c r="W42" s="8">
        <f>R42/Q42</f>
        <v>2.170998632010944</v>
      </c>
      <c r="X42" s="8">
        <f t="shared" si="19"/>
        <v>1.4155955441302486</v>
      </c>
      <c r="Y42" s="31">
        <f t="shared" si="4"/>
        <v>-0.24556751326691004</v>
      </c>
      <c r="Z42" s="31">
        <f t="shared" si="5"/>
        <v>-0.24556751326691004</v>
      </c>
      <c r="AA42" s="31" t="str">
        <f t="shared" si="6"/>
        <v/>
      </c>
      <c r="AB42" s="36"/>
      <c r="AC42" s="6" t="s">
        <v>900</v>
      </c>
      <c r="AD42" s="6">
        <v>572</v>
      </c>
      <c r="AE42" s="2" t="str">
        <f t="shared" si="7"/>
        <v>HC86 572</v>
      </c>
      <c r="AF42" s="2" t="s">
        <v>20</v>
      </c>
      <c r="AG42" s="2" t="s">
        <v>977</v>
      </c>
      <c r="AH42" s="2">
        <f t="shared" si="8"/>
        <v>9</v>
      </c>
      <c r="AI42" s="2">
        <f t="shared" si="9"/>
        <v>3</v>
      </c>
      <c r="AJ42" s="2">
        <f t="shared" si="10"/>
        <v>6</v>
      </c>
      <c r="AK42" s="14">
        <f t="shared" si="11"/>
        <v>33.168666666666667</v>
      </c>
      <c r="AL42" s="15">
        <f t="shared" si="12"/>
        <v>8.0474059906928002</v>
      </c>
      <c r="AM42" s="15">
        <f t="array" ref="AM42">STDEV(IF(C$2:C$1094=AE42,IF(L$2:L$1094&gt;0,L$2:L$1094)))/SQRT(AI42)</f>
        <v>0.2552480375647932</v>
      </c>
      <c r="AN42" s="15">
        <f t="shared" si="15"/>
        <v>0.25634240515884021</v>
      </c>
      <c r="AO42" s="16">
        <f t="array" ref="AO42">AVERAGE(IF($D$2:$D$1094=$AC42,IF($E$2:$E$1094=$AD42,IF(ISNUMBER($AA$2:$AA$1094)=TRUE,10^($AA$2:$AA$1094*1.66956+1.732077)))))</f>
        <v>21.78815605348656</v>
      </c>
      <c r="AP42" s="17">
        <f t="array" ref="AP42">AVERAGE(IF($D$2:$D$1094=$AC42,IF($E$2:$E$1094=$AD42,IF(ISNUMBER($AA$2:$AA$1094)=TRUE,LN(100*10^($AA$2:$AA$1094*1.66956+1.732077))))))</f>
        <v>7.6633682991395986</v>
      </c>
      <c r="AQ42" s="17">
        <v>7.2626899584896902</v>
      </c>
      <c r="AR42" s="19">
        <v>8.0669610553085604</v>
      </c>
      <c r="AS42" s="16">
        <f t="array" ref="AS42">AVERAGE(IF($D$2:$D$1094=$AC42,IF($E$2:$E$1094=$AD42,IF(ISNUMBER($Z$2:$Z$1094)=TRUE,10^($Z$2:$Z$1094*1.66956+1.732077)))))</f>
        <v>30.614501652917085</v>
      </c>
      <c r="AT42" s="17">
        <f t="array" ref="AT42">AVERAGE(IF($D$2:$D$1094=$AC42,IF($E$2:$E$1094=$AD42,IF(ISNUMBER($Z$2:$Z$1094)=TRUE,LN(100*10^($Z$2:$Z$1094*1.66956+1.732077))))))</f>
        <v>7.8982524518933985</v>
      </c>
      <c r="AU42" s="17">
        <v>7.4477656641902898</v>
      </c>
      <c r="AV42" s="17">
        <v>8.3485508386075509</v>
      </c>
      <c r="AW42" s="12">
        <f t="array" ref="AW42">AVERAGE(IF($D$2:$D$1094=$AC42,IF($E$2:$E$1094=$AD42,IF(ISNUMBER($AA$2:$AA$1094)=TRUE,10^($AA$2:$AA$1094*2.04+1.96)))))</f>
        <v>30.287589747877689</v>
      </c>
      <c r="AX42" s="13">
        <f t="array" ref="AX42">AVERAGE(IF($D$2:$D$1094=$AC42,IF($E$2:$E$1094=$AD42,IF(ISNUMBER($AA$2:$AA$1094)=TRUE,LN(100*10^($AA$2:$AA$1094*2.04+1.96))))))</f>
        <v>7.981820549193114</v>
      </c>
      <c r="AY42" s="13">
        <v>7.4963580705811896</v>
      </c>
      <c r="AZ42" s="18">
        <v>8.4873400374514407</v>
      </c>
      <c r="BA42" s="12">
        <f t="array" ref="BA42">AVERAGE(IF($D$2:$D$1094=$AC42,IF($E$2:$E$1094=$AD42,IF(ISNUMBER($Z$2:$Z$1094)=TRUE,10^($Z$2:$Z$1094*2.04+1.96)))))</f>
        <v>46.719946372782225</v>
      </c>
      <c r="BB42" s="13">
        <f t="array" ref="BB42">AVERAGE(IF($D$2:$D$1094=$AC42,IF($E$2:$E$1094=$AD42,IF(ISNUMBER($Z$2:$Z$1094)=TRUE,LN(100*10^($Z$2:$Z$1094*2.04+1.96))))))</f>
        <v>8.2688205202140708</v>
      </c>
      <c r="BC42" s="13">
        <v>7.7198508979679898</v>
      </c>
      <c r="BD42" s="13">
        <v>8.8348264674728991</v>
      </c>
      <c r="BE42" s="8"/>
      <c r="BF42" s="17">
        <f t="shared" si="13"/>
        <v>0.23488415275379992</v>
      </c>
      <c r="BG42" s="13">
        <f t="shared" si="14"/>
        <v>0.28699997102095676</v>
      </c>
    </row>
    <row r="43" spans="1:60" x14ac:dyDescent="0.25">
      <c r="A43" s="6" t="str">
        <f t="shared" si="0"/>
        <v>fragment</v>
      </c>
      <c r="B43" s="6" t="s">
        <v>18</v>
      </c>
      <c r="C43" s="6" t="str">
        <f t="shared" si="1"/>
        <v>FU29 436</v>
      </c>
      <c r="D43" s="6" t="s">
        <v>17</v>
      </c>
      <c r="E43" s="20">
        <v>436</v>
      </c>
      <c r="F43" s="6" t="s">
        <v>24</v>
      </c>
      <c r="G43" s="6" t="s">
        <v>949</v>
      </c>
      <c r="H43" s="6" t="s">
        <v>974</v>
      </c>
      <c r="I43" s="6" t="s">
        <v>20</v>
      </c>
      <c r="J43" s="29"/>
      <c r="K43" s="8" t="str">
        <f t="shared" si="2"/>
        <v/>
      </c>
      <c r="L43" s="8" t="str">
        <f t="shared" si="3"/>
        <v/>
      </c>
      <c r="M43" s="8"/>
      <c r="N43" s="8"/>
      <c r="O43" s="8"/>
      <c r="P43" s="8"/>
      <c r="Q43" s="8">
        <v>2.157</v>
      </c>
      <c r="R43" s="8">
        <f>1.018+1.255+0.815</f>
        <v>3.0879999999999996</v>
      </c>
      <c r="S43" s="8">
        <v>5.2640000000000002</v>
      </c>
      <c r="T43" s="8">
        <f>1.018+1.642+2.029+1.3</f>
        <v>5.9889999999999999</v>
      </c>
      <c r="U43" s="8"/>
      <c r="V43" s="8"/>
      <c r="W43" s="8">
        <f>R43/Q43</f>
        <v>1.4316179879462214</v>
      </c>
      <c r="X43" s="8">
        <f t="shared" si="19"/>
        <v>1.1377279635258357</v>
      </c>
      <c r="Y43" s="31">
        <f t="shared" si="4"/>
        <v>-0.10879258843885967</v>
      </c>
      <c r="Z43" s="31">
        <f t="shared" si="5"/>
        <v>-0.10879258843885967</v>
      </c>
      <c r="AA43" s="31" t="str">
        <f t="shared" si="6"/>
        <v/>
      </c>
      <c r="AC43" s="6"/>
      <c r="AD43" s="6"/>
      <c r="AK43" s="3"/>
      <c r="AL43" s="4"/>
      <c r="AO43" s="29"/>
      <c r="AP43" s="8"/>
      <c r="AR43" s="6"/>
      <c r="AS43" s="6"/>
      <c r="AT43" s="6"/>
      <c r="AU43" s="6"/>
      <c r="AV43" s="6"/>
      <c r="AX43" s="26"/>
      <c r="AZ43" s="6"/>
      <c r="BA43" s="6"/>
      <c r="BB43" s="6"/>
      <c r="BC43" s="6"/>
      <c r="BD43" s="6"/>
    </row>
    <row r="44" spans="1:60" x14ac:dyDescent="0.25">
      <c r="A44" s="6" t="str">
        <f t="shared" si="0"/>
        <v>complete</v>
      </c>
      <c r="B44" s="6" t="s">
        <v>18</v>
      </c>
      <c r="C44" s="6" t="str">
        <f t="shared" si="1"/>
        <v>FU29 436</v>
      </c>
      <c r="D44" s="6" t="s">
        <v>17</v>
      </c>
      <c r="E44" s="20">
        <v>436</v>
      </c>
      <c r="F44" s="6" t="s">
        <v>24</v>
      </c>
      <c r="G44" s="6" t="s">
        <v>948</v>
      </c>
      <c r="H44" s="6" t="s">
        <v>974</v>
      </c>
      <c r="I44" s="6" t="s">
        <v>20</v>
      </c>
      <c r="J44" s="29">
        <v>17.120999999999999</v>
      </c>
      <c r="K44" s="8">
        <f t="shared" si="2"/>
        <v>1.2335291272686206</v>
      </c>
      <c r="L44" s="8">
        <f t="shared" si="3"/>
        <v>7.4454759662107719</v>
      </c>
      <c r="M44" s="8"/>
      <c r="N44" s="8"/>
      <c r="O44" s="8">
        <v>3.0219999999999998</v>
      </c>
      <c r="P44" s="8">
        <f>0.786+1.709+1.281+0.964</f>
        <v>4.74</v>
      </c>
      <c r="Q44" s="8"/>
      <c r="R44" s="8"/>
      <c r="S44" s="8">
        <v>7.3419999999999996</v>
      </c>
      <c r="T44" s="8">
        <f>1.148+2.445+2.822+2.166+1.29</f>
        <v>9.8709999999999987</v>
      </c>
      <c r="U44" s="8"/>
      <c r="V44" s="8">
        <f>P44/O44</f>
        <v>1.5684976836532101</v>
      </c>
      <c r="W44" s="8"/>
      <c r="X44" s="8">
        <f t="shared" si="19"/>
        <v>1.3444565513484064</v>
      </c>
      <c r="Y44" s="31">
        <f t="shared" si="4"/>
        <v>-0.16330366588013243</v>
      </c>
      <c r="Z44" s="31" t="str">
        <f t="shared" si="5"/>
        <v/>
      </c>
      <c r="AA44" s="31">
        <f t="shared" si="6"/>
        <v>-0.16330366588013243</v>
      </c>
      <c r="AC44" s="6"/>
      <c r="AD44" s="6"/>
      <c r="AE44" s="6"/>
      <c r="AF44" s="6"/>
      <c r="AG44" s="7"/>
      <c r="AK44" s="4"/>
      <c r="AL44" s="8"/>
      <c r="AM44" s="9"/>
      <c r="AN44" s="6"/>
      <c r="AO44" s="8"/>
      <c r="AP44" s="6"/>
      <c r="AQ44" s="9"/>
      <c r="AR44" s="6"/>
      <c r="AS44" s="6"/>
      <c r="AT44" s="6"/>
      <c r="AU44" s="6"/>
      <c r="AV44" s="8"/>
      <c r="AW44" s="8"/>
      <c r="AX44" s="6"/>
      <c r="AY44" s="9"/>
      <c r="AZ44" s="6"/>
      <c r="BA44" s="6"/>
      <c r="BB44" s="6"/>
      <c r="BC44" s="6"/>
      <c r="BD44" s="8"/>
      <c r="BE44" s="8"/>
      <c r="BF44" s="4"/>
      <c r="BG44" s="4"/>
    </row>
    <row r="45" spans="1:60" x14ac:dyDescent="0.25">
      <c r="A45" s="6" t="str">
        <f t="shared" si="0"/>
        <v>fragment</v>
      </c>
      <c r="B45" s="6" t="s">
        <v>18</v>
      </c>
      <c r="C45" s="6" t="str">
        <f t="shared" si="1"/>
        <v>FU29 436</v>
      </c>
      <c r="D45" s="6" t="s">
        <v>17</v>
      </c>
      <c r="E45" s="20">
        <v>436</v>
      </c>
      <c r="F45" s="6" t="s">
        <v>24</v>
      </c>
      <c r="G45" s="6" t="s">
        <v>48</v>
      </c>
      <c r="H45" s="6" t="s">
        <v>974</v>
      </c>
      <c r="I45" s="6" t="s">
        <v>20</v>
      </c>
      <c r="J45" s="29"/>
      <c r="K45" s="8" t="str">
        <f t="shared" si="2"/>
        <v/>
      </c>
      <c r="L45" s="8" t="str">
        <f t="shared" si="3"/>
        <v/>
      </c>
      <c r="M45" s="8"/>
      <c r="N45" s="8"/>
      <c r="O45" s="8">
        <v>9.202</v>
      </c>
      <c r="P45" s="8">
        <f>0.663+1.99+2.56+2.186+1.98+1.937+1.859+0.576</f>
        <v>13.750999999999999</v>
      </c>
      <c r="Q45" s="8"/>
      <c r="R45" s="8"/>
      <c r="S45" s="8"/>
      <c r="T45" s="8"/>
      <c r="U45" s="8"/>
      <c r="V45" s="8">
        <f>P45/O45</f>
        <v>1.494349054553358</v>
      </c>
      <c r="W45" s="8"/>
      <c r="X45" s="8"/>
      <c r="Y45" s="31">
        <f t="shared" si="4"/>
        <v>-0.17445205314224171</v>
      </c>
      <c r="Z45" s="31">
        <f t="shared" si="5"/>
        <v>-0.17445205314224171</v>
      </c>
      <c r="AA45" s="31" t="str">
        <f t="shared" si="6"/>
        <v/>
      </c>
      <c r="AC45" s="6"/>
      <c r="AD45" s="6"/>
      <c r="AE45" s="6"/>
      <c r="AF45" s="6"/>
      <c r="AG45" s="6"/>
      <c r="AK45" s="3"/>
      <c r="AL45" s="8"/>
      <c r="AM45" s="10"/>
      <c r="AN45" s="10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</row>
    <row r="46" spans="1:60" x14ac:dyDescent="0.25">
      <c r="A46" s="6" t="str">
        <f t="shared" si="0"/>
        <v>fragment</v>
      </c>
      <c r="B46" s="6" t="s">
        <v>18</v>
      </c>
      <c r="C46" s="6" t="str">
        <f t="shared" si="1"/>
        <v>FU29 436</v>
      </c>
      <c r="D46" s="6" t="s">
        <v>17</v>
      </c>
      <c r="E46" s="20">
        <v>436</v>
      </c>
      <c r="F46" s="6" t="s">
        <v>24</v>
      </c>
      <c r="G46" s="6" t="s">
        <v>49</v>
      </c>
      <c r="H46" s="6" t="s">
        <v>974</v>
      </c>
      <c r="I46" s="6" t="s">
        <v>20</v>
      </c>
      <c r="J46" s="29"/>
      <c r="K46" s="8" t="str">
        <f t="shared" si="2"/>
        <v/>
      </c>
      <c r="L46" s="8" t="str">
        <f t="shared" si="3"/>
        <v/>
      </c>
      <c r="M46" s="8"/>
      <c r="N46" s="8"/>
      <c r="O46" s="8">
        <v>8.952</v>
      </c>
      <c r="P46" s="8">
        <f>0.976+2.659+2.703+3.13+1.391</f>
        <v>10.859</v>
      </c>
      <c r="Q46" s="8"/>
      <c r="R46" s="8"/>
      <c r="S46" s="8">
        <v>6.1440000000000001</v>
      </c>
      <c r="T46" s="8">
        <f>1.49+2.139+0.257+2.042</f>
        <v>5.927999999999999</v>
      </c>
      <c r="U46" s="8"/>
      <c r="V46" s="8">
        <f>P46/O46</f>
        <v>1.2130250223413763</v>
      </c>
      <c r="W46" s="8"/>
      <c r="X46" s="8">
        <f>T46/S46</f>
        <v>0.96484374999999978</v>
      </c>
      <c r="Y46" s="31">
        <f t="shared" si="4"/>
        <v>-3.7001712095081116E-2</v>
      </c>
      <c r="Z46" s="31">
        <f t="shared" si="5"/>
        <v>-3.7001712095081116E-2</v>
      </c>
      <c r="AA46" s="31" t="str">
        <f t="shared" si="6"/>
        <v/>
      </c>
      <c r="AC46" s="6"/>
      <c r="AD46" s="6"/>
      <c r="AE46" s="6"/>
      <c r="AF46" s="6"/>
      <c r="AG46" s="6"/>
      <c r="AH46" s="6"/>
      <c r="AI46" s="6"/>
      <c r="AJ46" s="6"/>
      <c r="AK46" s="3"/>
      <c r="AL46" s="8"/>
      <c r="AM46" s="10"/>
      <c r="AN46" s="10"/>
      <c r="AO46" s="6"/>
      <c r="AP46" s="6"/>
      <c r="AQ46" s="6"/>
      <c r="AR46" s="6"/>
      <c r="AS46" s="6"/>
      <c r="AT46" s="6"/>
      <c r="AU46" s="6"/>
      <c r="AV46" s="6"/>
      <c r="AW46" s="6"/>
      <c r="AX46" s="7"/>
      <c r="AY46" s="6"/>
      <c r="AZ46" s="6"/>
      <c r="BA46" s="6"/>
      <c r="BB46" s="6"/>
      <c r="BC46" s="6"/>
      <c r="BD46" s="6"/>
    </row>
    <row r="47" spans="1:60" x14ac:dyDescent="0.25">
      <c r="A47" s="6" t="str">
        <f t="shared" si="0"/>
        <v>fragment</v>
      </c>
      <c r="B47" s="6" t="s">
        <v>18</v>
      </c>
      <c r="C47" s="6" t="str">
        <f t="shared" si="1"/>
        <v>FU29 436</v>
      </c>
      <c r="D47" s="6" t="s">
        <v>17</v>
      </c>
      <c r="E47" s="20">
        <v>436</v>
      </c>
      <c r="F47" s="6" t="s">
        <v>24</v>
      </c>
      <c r="G47" s="6" t="s">
        <v>50</v>
      </c>
      <c r="H47" s="6" t="s">
        <v>974</v>
      </c>
      <c r="I47" s="6" t="s">
        <v>20</v>
      </c>
      <c r="J47" s="29"/>
      <c r="K47" s="8" t="str">
        <f t="shared" si="2"/>
        <v/>
      </c>
      <c r="L47" s="8" t="str">
        <f t="shared" si="3"/>
        <v/>
      </c>
      <c r="M47" s="8"/>
      <c r="N47" s="8"/>
      <c r="O47" s="8"/>
      <c r="P47" s="8"/>
      <c r="Q47" s="8">
        <v>1.095</v>
      </c>
      <c r="R47" s="8">
        <f>0.505 + 0.871 + 0.891</f>
        <v>2.2669999999999999</v>
      </c>
      <c r="S47" s="8">
        <v>4.82</v>
      </c>
      <c r="T47" s="8">
        <f>0.612 + 1.716 + 2.271 + 1.965</f>
        <v>6.5640000000000001</v>
      </c>
      <c r="U47" s="8"/>
      <c r="V47" s="8"/>
      <c r="W47" s="8">
        <f>R47/Q47</f>
        <v>2.0703196347031962</v>
      </c>
      <c r="X47" s="8">
        <f>T47/S47</f>
        <v>1.3618257261410787</v>
      </c>
      <c r="Y47" s="31">
        <f t="shared" si="4"/>
        <v>-0.23453567747413243</v>
      </c>
      <c r="Z47" s="31">
        <f t="shared" si="5"/>
        <v>-0.23453567747413243</v>
      </c>
      <c r="AA47" s="31" t="str">
        <f t="shared" si="6"/>
        <v/>
      </c>
      <c r="AC47" s="6"/>
      <c r="AD47" s="6"/>
      <c r="AE47" s="6"/>
      <c r="AF47" s="6"/>
      <c r="AG47" s="6"/>
      <c r="AH47" s="6"/>
      <c r="AI47" s="6"/>
      <c r="AJ47" s="6"/>
      <c r="AK47" s="3"/>
      <c r="AL47" s="8"/>
      <c r="AM47" s="8"/>
      <c r="AN47" s="8"/>
      <c r="AO47" s="6"/>
      <c r="AP47" s="6"/>
      <c r="AQ47" s="6"/>
      <c r="AR47" s="6"/>
      <c r="AS47" s="6"/>
      <c r="AT47" s="6"/>
      <c r="AU47" s="6"/>
      <c r="AV47" s="6"/>
      <c r="AW47" s="6"/>
      <c r="AX47" s="8"/>
      <c r="AY47" s="6"/>
      <c r="AZ47" s="6"/>
      <c r="BA47" s="6"/>
      <c r="BB47" s="6"/>
      <c r="BC47" s="6"/>
      <c r="BD47" s="6"/>
      <c r="BH47" s="3"/>
    </row>
    <row r="48" spans="1:60" x14ac:dyDescent="0.25">
      <c r="A48" s="6" t="str">
        <f t="shared" si="0"/>
        <v>fragment</v>
      </c>
      <c r="B48" s="6" t="s">
        <v>18</v>
      </c>
      <c r="C48" s="6" t="str">
        <f t="shared" si="1"/>
        <v>FU29 436</v>
      </c>
      <c r="D48" s="6" t="s">
        <v>17</v>
      </c>
      <c r="E48" s="20">
        <v>436</v>
      </c>
      <c r="F48" s="6" t="s">
        <v>24</v>
      </c>
      <c r="G48" s="6" t="s">
        <v>950</v>
      </c>
      <c r="H48" s="6" t="s">
        <v>974</v>
      </c>
      <c r="I48" s="6" t="s">
        <v>20</v>
      </c>
      <c r="J48" s="29"/>
      <c r="K48" s="8" t="str">
        <f t="shared" si="2"/>
        <v/>
      </c>
      <c r="L48" s="8" t="str">
        <f t="shared" si="3"/>
        <v/>
      </c>
      <c r="M48" s="8"/>
      <c r="N48" s="8"/>
      <c r="O48" s="8"/>
      <c r="P48" s="8"/>
      <c r="Q48" s="8">
        <v>1.9159999999999999</v>
      </c>
      <c r="R48" s="8">
        <f>0.537+1.068+1.022+0.471</f>
        <v>3.0979999999999999</v>
      </c>
      <c r="S48" s="8">
        <v>4.7619999999999996</v>
      </c>
      <c r="T48" s="8">
        <f>1.285+2.267+2.31+1.097</f>
        <v>6.9589999999999996</v>
      </c>
      <c r="U48" s="8"/>
      <c r="V48" s="8"/>
      <c r="W48" s="8">
        <f>R48/Q48</f>
        <v>1.6169102296450939</v>
      </c>
      <c r="X48" s="8">
        <f>T48/S48</f>
        <v>1.4613607727845443</v>
      </c>
      <c r="Y48" s="31">
        <f t="shared" si="4"/>
        <v>-0.18727685559459048</v>
      </c>
      <c r="Z48" s="31">
        <f t="shared" si="5"/>
        <v>-0.18727685559459048</v>
      </c>
      <c r="AA48" s="31" t="str">
        <f t="shared" si="6"/>
        <v/>
      </c>
      <c r="AC48" s="6"/>
      <c r="AD48" s="6"/>
      <c r="AE48" s="6"/>
      <c r="AF48" s="6"/>
      <c r="AG48" s="6"/>
      <c r="AH48" s="6"/>
      <c r="AI48" s="6"/>
      <c r="AJ48" s="6"/>
      <c r="AK48" s="3"/>
      <c r="AL48" s="8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8"/>
      <c r="AY48" s="6"/>
      <c r="AZ48" s="6"/>
      <c r="BA48" s="6"/>
      <c r="BB48" s="6"/>
      <c r="BC48" s="6"/>
      <c r="BD48" s="6"/>
      <c r="BH48" s="3"/>
    </row>
    <row r="49" spans="1:60" x14ac:dyDescent="0.25">
      <c r="A49" s="6" t="str">
        <f t="shared" si="0"/>
        <v>fragment</v>
      </c>
      <c r="B49" s="6" t="s">
        <v>18</v>
      </c>
      <c r="C49" s="6" t="str">
        <f t="shared" si="1"/>
        <v>FU29 436</v>
      </c>
      <c r="D49" s="6" t="s">
        <v>17</v>
      </c>
      <c r="E49" s="20">
        <v>436</v>
      </c>
      <c r="F49" s="6" t="s">
        <v>24</v>
      </c>
      <c r="G49" s="6" t="s">
        <v>951</v>
      </c>
      <c r="H49" s="6" t="s">
        <v>974</v>
      </c>
      <c r="I49" s="6" t="s">
        <v>20</v>
      </c>
      <c r="J49" s="29"/>
      <c r="K49" s="8" t="str">
        <f t="shared" si="2"/>
        <v/>
      </c>
      <c r="L49" s="8" t="str">
        <f t="shared" si="3"/>
        <v/>
      </c>
      <c r="M49" s="8"/>
      <c r="N49" s="8"/>
      <c r="O49" s="8">
        <v>1.7470000000000001</v>
      </c>
      <c r="P49" s="8">
        <f>0.586+1.028+0.935+0.603</f>
        <v>3.1520000000000001</v>
      </c>
      <c r="Q49" s="8"/>
      <c r="R49" s="8"/>
      <c r="S49" s="8">
        <v>2.85</v>
      </c>
      <c r="T49" s="8">
        <f>0.642+1.469+1.499+0.939</f>
        <v>4.5490000000000004</v>
      </c>
      <c r="U49" s="8"/>
      <c r="V49" s="8">
        <f t="shared" ref="V49:V55" si="20">P49/O49</f>
        <v>1.8042358328563251</v>
      </c>
      <c r="W49" s="8"/>
      <c r="X49" s="8">
        <f>T49/S49</f>
        <v>1.596140350877193</v>
      </c>
      <c r="Y49" s="31">
        <f t="shared" si="4"/>
        <v>-0.23049697004952419</v>
      </c>
      <c r="Z49" s="31">
        <f t="shared" si="5"/>
        <v>-0.23049697004952419</v>
      </c>
      <c r="AA49" s="31" t="str">
        <f t="shared" si="6"/>
        <v/>
      </c>
      <c r="AC49" s="6"/>
      <c r="AD49" s="6"/>
      <c r="AE49" s="6"/>
      <c r="AF49" s="6"/>
      <c r="AG49" s="6"/>
      <c r="AH49" s="6"/>
      <c r="AI49" s="6"/>
      <c r="AJ49" s="6"/>
      <c r="AK49" s="3"/>
      <c r="AL49" s="8"/>
      <c r="AM49" s="11"/>
      <c r="AN49" s="6"/>
      <c r="AO49" s="6"/>
      <c r="AP49" s="6"/>
      <c r="AQ49" s="9"/>
      <c r="AR49" s="6"/>
      <c r="AS49" s="6"/>
      <c r="AT49" s="6"/>
      <c r="AU49" s="6"/>
      <c r="AV49" s="6"/>
      <c r="AW49" s="6"/>
      <c r="AX49" s="6"/>
      <c r="AY49" s="9"/>
      <c r="AZ49" s="6"/>
      <c r="BA49" s="6"/>
      <c r="BB49" s="6"/>
      <c r="BC49" s="6"/>
      <c r="BD49" s="6"/>
      <c r="BH49" s="3"/>
    </row>
    <row r="50" spans="1:60" x14ac:dyDescent="0.25">
      <c r="A50" s="6" t="str">
        <f t="shared" si="0"/>
        <v>complete</v>
      </c>
      <c r="B50" s="6" t="s">
        <v>18</v>
      </c>
      <c r="C50" s="6" t="str">
        <f t="shared" si="1"/>
        <v>FU29 436</v>
      </c>
      <c r="D50" s="6" t="s">
        <v>17</v>
      </c>
      <c r="E50" s="20">
        <v>436</v>
      </c>
      <c r="F50" s="6" t="s">
        <v>24</v>
      </c>
      <c r="G50" s="6" t="s">
        <v>51</v>
      </c>
      <c r="H50" s="6" t="s">
        <v>974</v>
      </c>
      <c r="I50" s="6" t="s">
        <v>20</v>
      </c>
      <c r="J50" s="29">
        <f>18.63*2</f>
        <v>37.26</v>
      </c>
      <c r="K50" s="8">
        <f t="shared" si="2"/>
        <v>1.5712428505602238</v>
      </c>
      <c r="L50" s="8">
        <f t="shared" si="3"/>
        <v>8.2230905511615333</v>
      </c>
      <c r="M50" s="8">
        <v>4.0949999999999998</v>
      </c>
      <c r="N50" s="8">
        <f xml:space="preserve"> 0.593 + 2.581 + 2.336 + 0.478 + 0.629 + 0.241</f>
        <v>6.8579999999999988</v>
      </c>
      <c r="O50" s="8">
        <v>5.2519999999999998</v>
      </c>
      <c r="P50" s="8">
        <f>0.582 + 2.001 + 0.105 + 2.94 + 0.991 + 2.425</f>
        <v>9.0440000000000005</v>
      </c>
      <c r="Q50" s="8"/>
      <c r="R50" s="8"/>
      <c r="S50" s="8"/>
      <c r="T50" s="8"/>
      <c r="U50" s="8">
        <f>N50/M50</f>
        <v>1.6747252747252745</v>
      </c>
      <c r="V50" s="8">
        <f t="shared" si="20"/>
        <v>1.7220106626047222</v>
      </c>
      <c r="W50" s="8"/>
      <c r="X50" s="8"/>
      <c r="Y50" s="31">
        <f t="shared" si="4"/>
        <v>-0.23003179041181671</v>
      </c>
      <c r="Z50" s="31" t="str">
        <f t="shared" si="5"/>
        <v/>
      </c>
      <c r="AA50" s="31">
        <f t="shared" si="6"/>
        <v>-0.23003179041181671</v>
      </c>
      <c r="AC50" s="6"/>
      <c r="AD50" s="6"/>
      <c r="AE50" s="6"/>
      <c r="AF50" s="6"/>
      <c r="AG50" s="6"/>
      <c r="AH50" s="6"/>
      <c r="AI50" s="6"/>
      <c r="AJ50" s="6"/>
      <c r="AK50" s="3"/>
      <c r="AL50" s="8"/>
      <c r="AM50" s="10"/>
      <c r="AN50" s="10"/>
      <c r="AO50" s="6"/>
      <c r="AP50" s="6"/>
      <c r="AQ50" s="6"/>
      <c r="AR50" s="6"/>
      <c r="AS50" s="6"/>
      <c r="AT50" s="6"/>
      <c r="AU50" s="6"/>
      <c r="AV50" s="6"/>
      <c r="AX50" s="37"/>
      <c r="AY50" s="6"/>
      <c r="AZ50" s="6"/>
      <c r="BA50" s="6"/>
      <c r="BB50" s="6"/>
      <c r="BC50" s="6"/>
      <c r="BD50" s="6"/>
    </row>
    <row r="51" spans="1:60" x14ac:dyDescent="0.25">
      <c r="A51" s="6" t="str">
        <f t="shared" si="0"/>
        <v>complete</v>
      </c>
      <c r="B51" s="6" t="s">
        <v>18</v>
      </c>
      <c r="C51" s="6" t="str">
        <f t="shared" si="1"/>
        <v>FU29 436</v>
      </c>
      <c r="D51" s="6" t="s">
        <v>17</v>
      </c>
      <c r="E51" s="20">
        <v>436</v>
      </c>
      <c r="F51" s="6" t="s">
        <v>24</v>
      </c>
      <c r="G51" s="6" t="s">
        <v>52</v>
      </c>
      <c r="H51" s="6" t="s">
        <v>974</v>
      </c>
      <c r="I51" s="6" t="s">
        <v>20</v>
      </c>
      <c r="J51" s="29">
        <f>37.538*2</f>
        <v>75.075999999999993</v>
      </c>
      <c r="K51" s="8">
        <f t="shared" si="2"/>
        <v>1.8755011256407759</v>
      </c>
      <c r="L51" s="8">
        <f t="shared" si="3"/>
        <v>8.9236711197820942</v>
      </c>
      <c r="M51" s="8"/>
      <c r="N51" s="8"/>
      <c r="O51" s="8">
        <v>13.231999999999999</v>
      </c>
      <c r="P51" s="8">
        <f>1.034 + 3.023 + 3.24 + 2.993 + 2.779 + 1.172</f>
        <v>14.241000000000001</v>
      </c>
      <c r="Q51" s="8"/>
      <c r="R51" s="8"/>
      <c r="S51" s="8">
        <v>6.6710000000000003</v>
      </c>
      <c r="T51" s="8">
        <f>0.967 + 1.966 + 2.206 + 2.133 + 1.102</f>
        <v>8.3739999999999988</v>
      </c>
      <c r="U51" s="8"/>
      <c r="V51" s="8">
        <f t="shared" si="20"/>
        <v>1.0762545344619108</v>
      </c>
      <c r="W51" s="8"/>
      <c r="X51" s="8">
        <f>T51/S51</f>
        <v>1.2552840653575175</v>
      </c>
      <c r="Y51" s="31">
        <f t="shared" si="4"/>
        <v>-6.6612614154328759E-2</v>
      </c>
      <c r="Z51" s="31" t="str">
        <f t="shared" si="5"/>
        <v/>
      </c>
      <c r="AA51" s="31">
        <f t="shared" si="6"/>
        <v>-6.6612614154328759E-2</v>
      </c>
      <c r="AC51" s="6"/>
      <c r="AD51" s="6"/>
      <c r="AE51" s="6"/>
      <c r="AF51" s="6"/>
      <c r="AG51" s="6"/>
      <c r="AH51" s="6"/>
      <c r="AI51" s="6"/>
      <c r="AJ51" s="6"/>
      <c r="AK51" s="3"/>
      <c r="AL51" s="8"/>
      <c r="AM51" s="10"/>
      <c r="AN51" s="10"/>
      <c r="AO51" s="6"/>
      <c r="AP51" s="6"/>
      <c r="AQ51" s="6"/>
      <c r="AR51" s="6"/>
      <c r="AS51" s="6"/>
      <c r="AT51" s="6"/>
      <c r="AU51" s="6"/>
      <c r="AV51" s="6"/>
      <c r="AW51" s="6"/>
      <c r="AX51" s="4"/>
      <c r="AY51" s="6"/>
      <c r="AZ51" s="6"/>
      <c r="BA51" s="6"/>
      <c r="BB51" s="6"/>
      <c r="BC51" s="6"/>
      <c r="BD51" s="6"/>
      <c r="BH51" s="3"/>
    </row>
    <row r="52" spans="1:60" x14ac:dyDescent="0.25">
      <c r="A52" s="6" t="str">
        <f t="shared" si="0"/>
        <v>complete</v>
      </c>
      <c r="B52" s="6" t="s">
        <v>18</v>
      </c>
      <c r="C52" s="6" t="str">
        <f t="shared" si="1"/>
        <v>FU29 436</v>
      </c>
      <c r="D52" s="6" t="s">
        <v>17</v>
      </c>
      <c r="E52" s="20">
        <v>436</v>
      </c>
      <c r="F52" s="6" t="s">
        <v>24</v>
      </c>
      <c r="G52" s="6" t="s">
        <v>946</v>
      </c>
      <c r="H52" s="6" t="s">
        <v>974</v>
      </c>
      <c r="I52" s="6" t="s">
        <v>20</v>
      </c>
      <c r="J52" s="29">
        <f>16.237*2</f>
        <v>32.473999999999997</v>
      </c>
      <c r="K52" s="8">
        <f t="shared" si="2"/>
        <v>1.5115357863449534</v>
      </c>
      <c r="L52" s="8">
        <f t="shared" si="3"/>
        <v>8.0856099551530143</v>
      </c>
      <c r="M52" s="8"/>
      <c r="N52" s="8"/>
      <c r="O52" s="8">
        <v>3.831</v>
      </c>
      <c r="P52" s="8">
        <f>0.995+1.523+1.563+0.926</f>
        <v>5.0069999999999997</v>
      </c>
      <c r="Q52" s="8"/>
      <c r="R52" s="8"/>
      <c r="S52" s="8">
        <v>6.8959999999999999</v>
      </c>
      <c r="T52" s="8">
        <f>1.098+2.246+2.256+2.136+2.706</f>
        <v>10.442</v>
      </c>
      <c r="U52" s="8"/>
      <c r="V52" s="8">
        <f t="shared" si="20"/>
        <v>1.3069694596711041</v>
      </c>
      <c r="W52" s="8"/>
      <c r="X52" s="8">
        <f>T52/S52</f>
        <v>1.5142111368909512</v>
      </c>
      <c r="Y52" s="31">
        <f t="shared" si="4"/>
        <v>-0.14940089254026881</v>
      </c>
      <c r="Z52" s="31" t="str">
        <f t="shared" si="5"/>
        <v/>
      </c>
      <c r="AA52" s="31">
        <f t="shared" si="6"/>
        <v>-0.14940089254026881</v>
      </c>
      <c r="AC52" s="6"/>
      <c r="AD52" s="6"/>
      <c r="AE52" s="6"/>
      <c r="AF52" s="6"/>
      <c r="AG52" s="6"/>
      <c r="AH52" s="6"/>
      <c r="AI52" s="6"/>
      <c r="AJ52" s="6"/>
      <c r="AK52" s="3"/>
      <c r="AL52" s="8"/>
      <c r="AM52" s="8"/>
      <c r="AN52" s="8"/>
      <c r="AO52" s="6"/>
      <c r="AP52" s="6"/>
      <c r="AQ52" s="6"/>
      <c r="AR52" s="6"/>
      <c r="AS52" s="6"/>
      <c r="AT52" s="6"/>
      <c r="AU52" s="6"/>
      <c r="AV52" s="6"/>
      <c r="AW52" s="6"/>
      <c r="AX52" s="4"/>
      <c r="AY52" s="6"/>
      <c r="AZ52" s="6"/>
      <c r="BA52" s="6"/>
      <c r="BB52" s="6"/>
      <c r="BC52" s="6"/>
      <c r="BD52" s="6"/>
      <c r="BH52" s="3"/>
    </row>
    <row r="53" spans="1:60" x14ac:dyDescent="0.25">
      <c r="A53" s="6" t="str">
        <f t="shared" si="0"/>
        <v>fragment</v>
      </c>
      <c r="B53" s="6" t="s">
        <v>18</v>
      </c>
      <c r="C53" s="6" t="str">
        <f t="shared" si="1"/>
        <v>FU29 436</v>
      </c>
      <c r="D53" s="6" t="s">
        <v>17</v>
      </c>
      <c r="E53" s="20">
        <v>436</v>
      </c>
      <c r="F53" s="6" t="s">
        <v>24</v>
      </c>
      <c r="G53" s="6" t="s">
        <v>947</v>
      </c>
      <c r="H53" s="6" t="s">
        <v>974</v>
      </c>
      <c r="I53" s="6" t="s">
        <v>20</v>
      </c>
      <c r="J53" s="29"/>
      <c r="K53" s="8" t="str">
        <f t="shared" si="2"/>
        <v/>
      </c>
      <c r="L53" s="8" t="str">
        <f t="shared" si="3"/>
        <v/>
      </c>
      <c r="M53" s="8"/>
      <c r="N53" s="8"/>
      <c r="O53" s="8">
        <v>2.294</v>
      </c>
      <c r="P53" s="8">
        <f>1.302+1.815+0.291</f>
        <v>3.4079999999999999</v>
      </c>
      <c r="Q53" s="8"/>
      <c r="R53" s="8"/>
      <c r="S53" s="8">
        <v>3.8919999999999999</v>
      </c>
      <c r="T53" s="8">
        <f>0.978+1.815+1.944+1.226</f>
        <v>5.9630000000000001</v>
      </c>
      <c r="U53" s="8"/>
      <c r="V53" s="8">
        <f t="shared" si="20"/>
        <v>1.4856146469049694</v>
      </c>
      <c r="W53" s="8"/>
      <c r="X53" s="8">
        <f>T53/S53</f>
        <v>1.5321171634121276</v>
      </c>
      <c r="Y53" s="31">
        <f t="shared" si="4"/>
        <v>-0.1786506451848674</v>
      </c>
      <c r="Z53" s="31">
        <f t="shared" si="5"/>
        <v>-0.1786506451848674</v>
      </c>
      <c r="AA53" s="31" t="str">
        <f t="shared" si="6"/>
        <v/>
      </c>
      <c r="AC53" s="6"/>
      <c r="AD53" s="6"/>
      <c r="AE53" s="6"/>
      <c r="AF53" s="6"/>
      <c r="AG53" s="6"/>
      <c r="AH53" s="6"/>
      <c r="AI53" s="6"/>
      <c r="AJ53" s="6"/>
      <c r="AK53" s="3"/>
      <c r="AL53" s="8"/>
      <c r="AM53" s="6"/>
      <c r="AN53" s="6"/>
      <c r="AO53" s="6"/>
      <c r="AP53" s="6"/>
      <c r="AQ53" s="6"/>
      <c r="AR53" s="6"/>
      <c r="AS53" s="6"/>
      <c r="AT53" s="6"/>
      <c r="AU53" s="6"/>
      <c r="AV53" s="6"/>
      <c r="AY53" s="6"/>
      <c r="AZ53" s="6"/>
      <c r="BA53" s="6"/>
      <c r="BB53" s="6"/>
      <c r="BC53" s="6"/>
      <c r="BD53" s="6"/>
      <c r="BH53" s="3"/>
    </row>
    <row r="54" spans="1:60" x14ac:dyDescent="0.25">
      <c r="A54" s="6" t="str">
        <f t="shared" si="0"/>
        <v>complete</v>
      </c>
      <c r="B54" s="6" t="s">
        <v>18</v>
      </c>
      <c r="C54" s="6" t="str">
        <f t="shared" si="1"/>
        <v>FU29 436</v>
      </c>
      <c r="D54" s="6" t="s">
        <v>17</v>
      </c>
      <c r="E54" s="20">
        <v>436</v>
      </c>
      <c r="F54" s="6" t="s">
        <v>24</v>
      </c>
      <c r="G54" s="6" t="s">
        <v>53</v>
      </c>
      <c r="H54" s="6" t="s">
        <v>974</v>
      </c>
      <c r="I54" s="6" t="s">
        <v>20</v>
      </c>
      <c r="J54" s="29">
        <f>29.924*2</f>
        <v>59.847999999999999</v>
      </c>
      <c r="K54" s="8">
        <f t="shared" si="2"/>
        <v>1.7770496417352968</v>
      </c>
      <c r="L54" s="8">
        <f t="shared" si="3"/>
        <v>8.6969782005581955</v>
      </c>
      <c r="M54" s="8">
        <v>8.702</v>
      </c>
      <c r="N54" s="8">
        <f>0.64+2.765+2.364+2.568+0.987+0.152</f>
        <v>9.4759999999999991</v>
      </c>
      <c r="O54" s="8">
        <v>7.851</v>
      </c>
      <c r="P54" s="8">
        <f>1.227+2.264+1.854+1.976+1.241</f>
        <v>8.5619999999999994</v>
      </c>
      <c r="Q54" s="8"/>
      <c r="R54" s="8"/>
      <c r="S54" s="8"/>
      <c r="T54" s="8"/>
      <c r="U54" s="8">
        <f>N54/M54</f>
        <v>1.0889450700988277</v>
      </c>
      <c r="V54" s="8">
        <f t="shared" si="20"/>
        <v>1.0905617118838364</v>
      </c>
      <c r="W54" s="8"/>
      <c r="X54" s="8"/>
      <c r="Y54" s="31">
        <f t="shared" si="4"/>
        <v>-3.7328229088237269E-2</v>
      </c>
      <c r="Z54" s="31" t="str">
        <f t="shared" si="5"/>
        <v/>
      </c>
      <c r="AA54" s="31">
        <f t="shared" si="6"/>
        <v>-3.7328229088237269E-2</v>
      </c>
      <c r="AC54" s="6"/>
      <c r="AD54" s="6"/>
      <c r="AE54" s="6"/>
      <c r="AF54" s="6"/>
      <c r="AG54" s="6"/>
      <c r="AH54" s="6"/>
      <c r="AI54" s="6"/>
      <c r="AJ54" s="6"/>
      <c r="AK54" s="3"/>
      <c r="AL54" s="8"/>
      <c r="AM54" s="6"/>
      <c r="AN54" s="6"/>
      <c r="AO54" s="6"/>
      <c r="AP54" s="6"/>
      <c r="AQ54" s="6"/>
      <c r="AR54" s="6"/>
      <c r="AS54" s="6"/>
      <c r="AT54" s="6"/>
      <c r="AU54" s="6"/>
      <c r="AV54" s="6"/>
      <c r="BA54" s="37"/>
      <c r="BD54" s="6"/>
    </row>
    <row r="55" spans="1:60" x14ac:dyDescent="0.25">
      <c r="A55" s="6" t="str">
        <f t="shared" si="0"/>
        <v>fragment</v>
      </c>
      <c r="B55" s="6" t="s">
        <v>18</v>
      </c>
      <c r="C55" s="6" t="str">
        <f t="shared" si="1"/>
        <v>FU29 436</v>
      </c>
      <c r="D55" s="6" t="s">
        <v>17</v>
      </c>
      <c r="E55" s="20">
        <v>436</v>
      </c>
      <c r="F55" s="6" t="s">
        <v>24</v>
      </c>
      <c r="G55" s="6" t="s">
        <v>54</v>
      </c>
      <c r="H55" s="6" t="s">
        <v>974</v>
      </c>
      <c r="I55" s="6" t="s">
        <v>20</v>
      </c>
      <c r="J55" s="29"/>
      <c r="K55" s="8" t="str">
        <f t="shared" si="2"/>
        <v/>
      </c>
      <c r="L55" s="8" t="str">
        <f t="shared" si="3"/>
        <v/>
      </c>
      <c r="M55" s="8"/>
      <c r="N55" s="8"/>
      <c r="O55" s="8">
        <v>7.1150000000000002</v>
      </c>
      <c r="P55" s="8">
        <f>0.688+2.191+2.029+1.974+1.697+1.589+0.52</f>
        <v>10.688000000000001</v>
      </c>
      <c r="Q55" s="8"/>
      <c r="R55" s="8"/>
      <c r="S55" s="8"/>
      <c r="T55" s="8"/>
      <c r="U55" s="8"/>
      <c r="V55" s="8">
        <f t="shared" si="20"/>
        <v>1.5021784961349263</v>
      </c>
      <c r="W55" s="8"/>
      <c r="X55" s="8"/>
      <c r="Y55" s="31">
        <f t="shared" si="4"/>
        <v>-0.17672154071116733</v>
      </c>
      <c r="Z55" s="31">
        <f t="shared" si="5"/>
        <v>-0.17672154071116733</v>
      </c>
      <c r="AA55" s="31" t="str">
        <f t="shared" si="6"/>
        <v/>
      </c>
      <c r="AC55" s="6"/>
      <c r="AD55" s="6"/>
      <c r="AE55" s="6"/>
      <c r="AF55" s="6"/>
      <c r="AG55" s="6"/>
      <c r="AH55" s="6"/>
      <c r="AI55" s="6"/>
      <c r="AJ55" s="6"/>
      <c r="AK55" s="3"/>
      <c r="AL55" s="8"/>
      <c r="AM55" s="6"/>
      <c r="AN55" s="6"/>
      <c r="AO55" s="6"/>
      <c r="AP55" s="6"/>
      <c r="AQ55" s="6"/>
      <c r="AR55" s="6"/>
      <c r="AS55" s="6"/>
      <c r="AT55" s="6"/>
      <c r="AU55" s="6"/>
      <c r="AV55" s="9"/>
      <c r="AW55" s="4"/>
      <c r="AX55" s="4"/>
      <c r="AY55" s="38"/>
      <c r="AZ55" s="38"/>
      <c r="BA55" s="38"/>
      <c r="BD55" s="9"/>
      <c r="BE55" s="9"/>
    </row>
    <row r="56" spans="1:60" x14ac:dyDescent="0.25">
      <c r="A56" s="6" t="str">
        <f t="shared" si="0"/>
        <v>fragment</v>
      </c>
      <c r="B56" s="6" t="s">
        <v>18</v>
      </c>
      <c r="C56" s="6" t="str">
        <f t="shared" si="1"/>
        <v>FU29 436</v>
      </c>
      <c r="D56" s="6" t="s">
        <v>17</v>
      </c>
      <c r="E56" s="20">
        <v>436</v>
      </c>
      <c r="F56" s="6" t="s">
        <v>24</v>
      </c>
      <c r="G56" s="6" t="s">
        <v>55</v>
      </c>
      <c r="H56" s="6" t="s">
        <v>974</v>
      </c>
      <c r="I56" s="6" t="s">
        <v>20</v>
      </c>
      <c r="J56" s="29"/>
      <c r="K56" s="8" t="str">
        <f t="shared" si="2"/>
        <v/>
      </c>
      <c r="L56" s="8" t="str">
        <f t="shared" si="3"/>
        <v/>
      </c>
      <c r="M56" s="8"/>
      <c r="N56" s="8"/>
      <c r="O56" s="8"/>
      <c r="P56" s="8"/>
      <c r="Q56" s="8">
        <v>0.83799999999999997</v>
      </c>
      <c r="R56" s="8">
        <f>0.392+0.698+0.399</f>
        <v>1.4889999999999999</v>
      </c>
      <c r="S56" s="8">
        <v>1.484</v>
      </c>
      <c r="T56" s="8">
        <f>0.914+0.897+0.577</f>
        <v>2.3879999999999999</v>
      </c>
      <c r="U56" s="8"/>
      <c r="V56" s="8"/>
      <c r="W56" s="8">
        <f>R56/Q56</f>
        <v>1.7768496420047732</v>
      </c>
      <c r="X56" s="8">
        <f>T56/S56</f>
        <v>1.6091644204851752</v>
      </c>
      <c r="Y56" s="31">
        <f t="shared" si="4"/>
        <v>-0.22865876178557562</v>
      </c>
      <c r="Z56" s="31">
        <f t="shared" si="5"/>
        <v>-0.22865876178557562</v>
      </c>
      <c r="AA56" s="31" t="str">
        <f t="shared" si="6"/>
        <v/>
      </c>
      <c r="AC56" s="6"/>
      <c r="AD56" s="6"/>
      <c r="AE56" s="6"/>
      <c r="AF56" s="6"/>
      <c r="AG56" s="6"/>
      <c r="AH56" s="6"/>
      <c r="AI56" s="6"/>
      <c r="AJ56" s="6"/>
      <c r="AK56" s="3"/>
      <c r="AL56" s="4"/>
      <c r="AV56" s="39"/>
      <c r="AW56" s="4"/>
      <c r="AX56" s="4"/>
      <c r="AY56" s="38"/>
      <c r="AZ56" s="38"/>
      <c r="BA56" s="38"/>
      <c r="BD56" s="39"/>
      <c r="BE56" s="9"/>
    </row>
    <row r="57" spans="1:60" x14ac:dyDescent="0.25">
      <c r="A57" s="6" t="str">
        <f t="shared" si="0"/>
        <v>fragment</v>
      </c>
      <c r="B57" s="6" t="s">
        <v>18</v>
      </c>
      <c r="C57" s="6" t="str">
        <f t="shared" si="1"/>
        <v>FU29 436</v>
      </c>
      <c r="D57" s="6" t="s">
        <v>17</v>
      </c>
      <c r="E57" s="20">
        <v>436</v>
      </c>
      <c r="F57" s="6" t="s">
        <v>24</v>
      </c>
      <c r="G57" s="6" t="s">
        <v>56</v>
      </c>
      <c r="H57" s="6" t="s">
        <v>974</v>
      </c>
      <c r="I57" s="6" t="s">
        <v>20</v>
      </c>
      <c r="J57" s="29"/>
      <c r="K57" s="8" t="str">
        <f t="shared" si="2"/>
        <v/>
      </c>
      <c r="L57" s="8" t="str">
        <f t="shared" si="3"/>
        <v/>
      </c>
      <c r="M57" s="8"/>
      <c r="N57" s="8"/>
      <c r="O57" s="8">
        <v>1.5660000000000001</v>
      </c>
      <c r="P57" s="8">
        <f>0.743+1.044+1.17+0.366</f>
        <v>3.323</v>
      </c>
      <c r="Q57" s="8"/>
      <c r="R57" s="8"/>
      <c r="S57" s="8">
        <v>2.1859999999999999</v>
      </c>
      <c r="T57" s="8">
        <f>0.331+1.416+1.82+0.401</f>
        <v>3.968</v>
      </c>
      <c r="U57" s="8"/>
      <c r="V57" s="8">
        <f>P57/O57</f>
        <v>2.1219667943805876</v>
      </c>
      <c r="W57" s="8"/>
      <c r="X57" s="8">
        <f>T57/S57</f>
        <v>1.8151875571820677</v>
      </c>
      <c r="Y57" s="31">
        <f t="shared" si="4"/>
        <v>-0.29415244547065311</v>
      </c>
      <c r="Z57" s="31">
        <f t="shared" si="5"/>
        <v>-0.29415244547065311</v>
      </c>
      <c r="AA57" s="31" t="str">
        <f t="shared" si="6"/>
        <v/>
      </c>
      <c r="AC57" s="6"/>
      <c r="AD57" s="6"/>
      <c r="AE57" s="6"/>
      <c r="AF57" s="6"/>
      <c r="AG57" s="6"/>
      <c r="AH57" s="6"/>
      <c r="AI57" s="6"/>
      <c r="AJ57" s="6"/>
      <c r="AK57" s="3"/>
      <c r="AL57" s="4"/>
      <c r="AV57" s="39"/>
      <c r="AW57" s="4"/>
      <c r="AX57" s="4"/>
      <c r="AY57" s="38"/>
      <c r="AZ57" s="38"/>
      <c r="BA57" s="38"/>
      <c r="BD57" s="39"/>
      <c r="BE57" s="9"/>
    </row>
    <row r="58" spans="1:60" x14ac:dyDescent="0.25">
      <c r="A58" s="6" t="str">
        <f t="shared" si="0"/>
        <v>fragment</v>
      </c>
      <c r="B58" s="6" t="s">
        <v>18</v>
      </c>
      <c r="C58" s="6" t="str">
        <f t="shared" si="1"/>
        <v>FU29 436</v>
      </c>
      <c r="D58" s="6" t="s">
        <v>17</v>
      </c>
      <c r="E58" s="20">
        <v>436</v>
      </c>
      <c r="F58" s="6" t="s">
        <v>24</v>
      </c>
      <c r="G58" s="6" t="s">
        <v>57</v>
      </c>
      <c r="H58" s="6" t="s">
        <v>974</v>
      </c>
      <c r="I58" s="6" t="s">
        <v>20</v>
      </c>
      <c r="J58" s="29"/>
      <c r="K58" s="8" t="str">
        <f t="shared" si="2"/>
        <v/>
      </c>
      <c r="L58" s="8" t="str">
        <f t="shared" si="3"/>
        <v/>
      </c>
      <c r="M58" s="8"/>
      <c r="N58" s="8"/>
      <c r="O58" s="8"/>
      <c r="P58" s="8"/>
      <c r="Q58" s="8"/>
      <c r="R58" s="8"/>
      <c r="S58" s="8">
        <v>7.1829999999999998</v>
      </c>
      <c r="T58" s="8">
        <f>1.67+2.964+2.608+1.227</f>
        <v>8.4690000000000012</v>
      </c>
      <c r="U58" s="8"/>
      <c r="V58" s="8"/>
      <c r="W58" s="8"/>
      <c r="X58" s="8">
        <f>T58/S58</f>
        <v>1.1790338298760965</v>
      </c>
      <c r="Y58" s="31">
        <f t="shared" si="4"/>
        <v>-7.1526266433282873E-2</v>
      </c>
      <c r="Z58" s="31">
        <f t="shared" si="5"/>
        <v>-7.1526266433282873E-2</v>
      </c>
      <c r="AA58" s="31" t="str">
        <f t="shared" si="6"/>
        <v/>
      </c>
      <c r="AC58" s="6"/>
      <c r="AD58" s="6"/>
      <c r="AE58" s="6"/>
      <c r="AF58" s="6"/>
      <c r="AG58" s="6"/>
      <c r="AH58" s="6"/>
      <c r="AI58" s="6"/>
      <c r="AJ58" s="6"/>
      <c r="AK58" s="3"/>
      <c r="AL58" s="4"/>
      <c r="AV58" s="39"/>
      <c r="AW58" s="4"/>
      <c r="AX58" s="4"/>
      <c r="AY58" s="38"/>
      <c r="AZ58" s="38"/>
      <c r="BA58" s="38"/>
      <c r="BD58" s="39"/>
      <c r="BE58" s="9"/>
    </row>
    <row r="59" spans="1:60" x14ac:dyDescent="0.25">
      <c r="A59" s="6" t="str">
        <f t="shared" si="0"/>
        <v>complete</v>
      </c>
      <c r="B59" s="6" t="s">
        <v>18</v>
      </c>
      <c r="C59" s="6" t="str">
        <f t="shared" si="1"/>
        <v>FU29 436</v>
      </c>
      <c r="D59" s="6" t="s">
        <v>17</v>
      </c>
      <c r="E59" s="20">
        <v>436</v>
      </c>
      <c r="F59" s="6" t="s">
        <v>24</v>
      </c>
      <c r="G59" s="6" t="s">
        <v>58</v>
      </c>
      <c r="H59" s="6" t="s">
        <v>974</v>
      </c>
      <c r="I59" s="6" t="s">
        <v>20</v>
      </c>
      <c r="J59" s="29">
        <f>35.906*2</f>
        <v>71.811999999999998</v>
      </c>
      <c r="K59" s="8">
        <f t="shared" si="2"/>
        <v>1.8561970222134305</v>
      </c>
      <c r="L59" s="8">
        <f t="shared" si="3"/>
        <v>8.8792217789966745</v>
      </c>
      <c r="M59" s="8"/>
      <c r="N59" s="8"/>
      <c r="O59" s="8">
        <v>11.162000000000001</v>
      </c>
      <c r="P59" s="8">
        <f>0.833+2.188+3.635+3.3+2.552+1.18</f>
        <v>13.687999999999999</v>
      </c>
      <c r="Q59" s="8">
        <v>2.3279999999999998</v>
      </c>
      <c r="R59" s="8">
        <f>1.019+1.171+0.798</f>
        <v>2.988</v>
      </c>
      <c r="S59" s="8"/>
      <c r="T59" s="8"/>
      <c r="U59" s="8"/>
      <c r="V59" s="8">
        <f t="shared" ref="V59:V69" si="21">P59/O59</f>
        <v>1.2263035298333631</v>
      </c>
      <c r="W59" s="8">
        <f>R59/Q59</f>
        <v>1.2835051546391754</v>
      </c>
      <c r="X59" s="8"/>
      <c r="Y59" s="31">
        <f t="shared" si="4"/>
        <v>-9.8610622054287597E-2</v>
      </c>
      <c r="Z59" s="31" t="str">
        <f t="shared" si="5"/>
        <v/>
      </c>
      <c r="AA59" s="31">
        <f t="shared" si="6"/>
        <v>-9.8610622054287597E-2</v>
      </c>
      <c r="AC59" s="6"/>
      <c r="AD59" s="6"/>
      <c r="AE59" s="6"/>
      <c r="AF59" s="6"/>
      <c r="AG59" s="6"/>
      <c r="AH59" s="6"/>
      <c r="AI59" s="6"/>
      <c r="AJ59" s="6"/>
      <c r="AK59" s="3"/>
      <c r="AL59" s="4"/>
      <c r="AV59" s="39"/>
      <c r="BD59" s="39"/>
      <c r="BE59" s="9"/>
    </row>
    <row r="60" spans="1:60" x14ac:dyDescent="0.25">
      <c r="A60" s="6" t="str">
        <f t="shared" si="0"/>
        <v>fragment</v>
      </c>
      <c r="B60" s="6" t="s">
        <v>18</v>
      </c>
      <c r="C60" s="6" t="str">
        <f t="shared" si="1"/>
        <v>FU29 436</v>
      </c>
      <c r="D60" s="6" t="s">
        <v>17</v>
      </c>
      <c r="E60" s="20">
        <v>436</v>
      </c>
      <c r="F60" s="6" t="s">
        <v>24</v>
      </c>
      <c r="G60" s="6" t="s">
        <v>59</v>
      </c>
      <c r="H60" s="6" t="s">
        <v>974</v>
      </c>
      <c r="I60" s="6" t="s">
        <v>20</v>
      </c>
      <c r="J60" s="29"/>
      <c r="K60" s="8" t="str">
        <f t="shared" si="2"/>
        <v/>
      </c>
      <c r="L60" s="8" t="str">
        <f t="shared" si="3"/>
        <v/>
      </c>
      <c r="M60" s="8"/>
      <c r="N60" s="8"/>
      <c r="O60" s="8">
        <v>5.1340000000000003</v>
      </c>
      <c r="P60" s="8">
        <f>1.153+2.05+1.482</f>
        <v>4.6849999999999996</v>
      </c>
      <c r="Q60" s="8">
        <v>10.518000000000001</v>
      </c>
      <c r="R60" s="8">
        <f>1.215+2.677+2.989+3.799+1.771</f>
        <v>12.451000000000001</v>
      </c>
      <c r="S60" s="8"/>
      <c r="T60" s="8"/>
      <c r="U60" s="8"/>
      <c r="V60" s="8">
        <f t="shared" si="21"/>
        <v>0.91254382547721058</v>
      </c>
      <c r="W60" s="8">
        <f>R60/Q60</f>
        <v>1.1837801863472144</v>
      </c>
      <c r="X60" s="8"/>
      <c r="Y60" s="31">
        <f t="shared" si="4"/>
        <v>-2.0428413216481853E-2</v>
      </c>
      <c r="Z60" s="31">
        <f t="shared" si="5"/>
        <v>-2.0428413216481853E-2</v>
      </c>
      <c r="AA60" s="31" t="str">
        <f t="shared" si="6"/>
        <v/>
      </c>
      <c r="AC60" s="6"/>
      <c r="AD60" s="6"/>
      <c r="AE60" s="6"/>
      <c r="AF60" s="6"/>
      <c r="AG60" s="6"/>
      <c r="AH60" s="6"/>
      <c r="AI60" s="6"/>
      <c r="AJ60" s="6"/>
      <c r="AK60" s="3"/>
      <c r="AL60" s="4"/>
    </row>
    <row r="61" spans="1:60" x14ac:dyDescent="0.25">
      <c r="A61" s="6" t="str">
        <f t="shared" si="0"/>
        <v>fragment</v>
      </c>
      <c r="B61" s="6" t="s">
        <v>18</v>
      </c>
      <c r="C61" s="6" t="str">
        <f t="shared" si="1"/>
        <v>FU29 436</v>
      </c>
      <c r="D61" s="6" t="s">
        <v>17</v>
      </c>
      <c r="E61" s="20">
        <v>436</v>
      </c>
      <c r="F61" s="6" t="s">
        <v>24</v>
      </c>
      <c r="G61" s="6" t="s">
        <v>60</v>
      </c>
      <c r="H61" s="6" t="s">
        <v>974</v>
      </c>
      <c r="I61" s="6" t="s">
        <v>20</v>
      </c>
      <c r="J61" s="29"/>
      <c r="K61" s="8" t="str">
        <f t="shared" si="2"/>
        <v/>
      </c>
      <c r="L61" s="8" t="str">
        <f t="shared" si="3"/>
        <v/>
      </c>
      <c r="M61" s="8"/>
      <c r="N61" s="8"/>
      <c r="O61" s="8">
        <v>7.7030000000000003</v>
      </c>
      <c r="P61" s="8">
        <f>3.332+2.281+2.499+0.422+1.226</f>
        <v>9.7600000000000016</v>
      </c>
      <c r="Q61" s="8"/>
      <c r="R61" s="8"/>
      <c r="S61" s="8"/>
      <c r="T61" s="8"/>
      <c r="U61" s="8"/>
      <c r="V61" s="8">
        <f t="shared" si="21"/>
        <v>1.2670388160456967</v>
      </c>
      <c r="W61" s="8"/>
      <c r="X61" s="8"/>
      <c r="Y61" s="31">
        <f t="shared" si="4"/>
        <v>-0.10278991980548904</v>
      </c>
      <c r="Z61" s="31">
        <f t="shared" si="5"/>
        <v>-0.10278991980548904</v>
      </c>
      <c r="AA61" s="31" t="str">
        <f t="shared" si="6"/>
        <v/>
      </c>
      <c r="AC61" s="6"/>
      <c r="AD61" s="6"/>
      <c r="AE61" s="6"/>
      <c r="AF61" s="6"/>
      <c r="AG61" s="6"/>
      <c r="AH61" s="6"/>
      <c r="AI61" s="6"/>
      <c r="AJ61" s="6"/>
      <c r="AK61" s="3"/>
      <c r="AL61" s="4"/>
      <c r="AW61" s="6"/>
      <c r="AX61" s="7"/>
    </row>
    <row r="62" spans="1:60" x14ac:dyDescent="0.25">
      <c r="A62" s="6" t="str">
        <f t="shared" si="0"/>
        <v>fragment</v>
      </c>
      <c r="B62" s="6" t="s">
        <v>18</v>
      </c>
      <c r="C62" s="6" t="str">
        <f t="shared" si="1"/>
        <v>FU29 436</v>
      </c>
      <c r="D62" s="6" t="s">
        <v>17</v>
      </c>
      <c r="E62" s="20">
        <v>436</v>
      </c>
      <c r="F62" s="6" t="s">
        <v>24</v>
      </c>
      <c r="G62" s="6" t="s">
        <v>61</v>
      </c>
      <c r="H62" s="6" t="s">
        <v>974</v>
      </c>
      <c r="I62" s="6" t="s">
        <v>20</v>
      </c>
      <c r="J62" s="29"/>
      <c r="K62" s="8" t="str">
        <f t="shared" si="2"/>
        <v/>
      </c>
      <c r="L62" s="8" t="str">
        <f t="shared" si="3"/>
        <v/>
      </c>
      <c r="M62" s="8"/>
      <c r="N62" s="8"/>
      <c r="O62" s="8">
        <v>5.202</v>
      </c>
      <c r="P62" s="8">
        <f>0.794 + 2.346 + 2.106 + 1.288 + 0.321</f>
        <v>6.8550000000000004</v>
      </c>
      <c r="Q62" s="8">
        <v>1.649</v>
      </c>
      <c r="R62" s="8">
        <f>0.982 + 0.892 + 0.788 + 0.205</f>
        <v>2.867</v>
      </c>
      <c r="S62" s="8"/>
      <c r="T62" s="8"/>
      <c r="U62" s="8"/>
      <c r="V62" s="8">
        <f t="shared" si="21"/>
        <v>1.317762399077278</v>
      </c>
      <c r="W62" s="8">
        <f>R62/Q62</f>
        <v>1.7386294724075197</v>
      </c>
      <c r="X62" s="8"/>
      <c r="Y62" s="31">
        <f t="shared" si="4"/>
        <v>-0.18417904033679131</v>
      </c>
      <c r="Z62" s="31">
        <f t="shared" si="5"/>
        <v>-0.18417904033679131</v>
      </c>
      <c r="AA62" s="31" t="str">
        <f t="shared" si="6"/>
        <v/>
      </c>
      <c r="AC62" s="6"/>
      <c r="AD62" s="6"/>
      <c r="AE62" s="6"/>
      <c r="AF62" s="6"/>
      <c r="AG62" s="6"/>
      <c r="AH62" s="6"/>
      <c r="AI62" s="6"/>
      <c r="AJ62" s="6"/>
      <c r="AK62" s="3"/>
      <c r="AL62" s="4"/>
      <c r="AW62" s="6"/>
      <c r="AX62" s="8"/>
    </row>
    <row r="63" spans="1:60" x14ac:dyDescent="0.25">
      <c r="A63" s="6" t="str">
        <f t="shared" si="0"/>
        <v>complete</v>
      </c>
      <c r="B63" s="6" t="s">
        <v>65</v>
      </c>
      <c r="C63" s="6" t="str">
        <f t="shared" si="1"/>
        <v>FU31 436</v>
      </c>
      <c r="D63" s="6" t="s">
        <v>64</v>
      </c>
      <c r="E63" s="20">
        <v>436</v>
      </c>
      <c r="F63" s="6" t="s">
        <v>24</v>
      </c>
      <c r="G63" s="6" t="s">
        <v>73</v>
      </c>
      <c r="H63" s="6" t="s">
        <v>974</v>
      </c>
      <c r="I63" s="6" t="s">
        <v>20</v>
      </c>
      <c r="J63" s="29">
        <v>85.832999999999998</v>
      </c>
      <c r="K63" s="8">
        <f t="shared" si="2"/>
        <v>1.9336542920737603</v>
      </c>
      <c r="L63" s="8">
        <f t="shared" si="3"/>
        <v>9.0575737339210853</v>
      </c>
      <c r="M63" s="8"/>
      <c r="N63" s="8"/>
      <c r="O63" s="8">
        <v>14.778</v>
      </c>
      <c r="P63" s="8">
        <f>1.396 + 2.936 + 3.229 + 3.701 + 1.951</f>
        <v>13.213000000000001</v>
      </c>
      <c r="Q63" s="8"/>
      <c r="R63" s="8"/>
      <c r="S63" s="8">
        <v>20.957999999999998</v>
      </c>
      <c r="T63" s="8">
        <f>0.764 + 2.874 + 3.432 + 3.978 + 4.538 + 3.2</f>
        <v>18.786000000000001</v>
      </c>
      <c r="U63" s="8"/>
      <c r="V63" s="8">
        <f t="shared" si="21"/>
        <v>0.89409933685207743</v>
      </c>
      <c r="W63" s="8"/>
      <c r="X63" s="8">
        <f>T63/S63</f>
        <v>0.8963641568851991</v>
      </c>
      <c r="Y63" s="31">
        <f t="shared" si="4"/>
        <v>4.8064525177877487E-2</v>
      </c>
      <c r="Z63" s="31" t="str">
        <f t="shared" si="5"/>
        <v/>
      </c>
      <c r="AA63" s="31">
        <f t="shared" si="6"/>
        <v>4.8064525177877487E-2</v>
      </c>
      <c r="AC63" s="6"/>
      <c r="AD63" s="6"/>
      <c r="AE63" s="6"/>
      <c r="AF63" s="6"/>
      <c r="AG63" s="6"/>
      <c r="AH63" s="6"/>
      <c r="AI63" s="6"/>
      <c r="AJ63" s="6"/>
      <c r="AK63" s="3"/>
      <c r="AL63" s="4"/>
      <c r="AW63" s="6"/>
      <c r="AX63" s="8"/>
    </row>
    <row r="64" spans="1:60" x14ac:dyDescent="0.25">
      <c r="A64" s="6" t="str">
        <f t="shared" si="0"/>
        <v>complete</v>
      </c>
      <c r="B64" s="6" t="s">
        <v>65</v>
      </c>
      <c r="C64" s="6" t="str">
        <f t="shared" si="1"/>
        <v>FU31 436</v>
      </c>
      <c r="D64" s="6" t="s">
        <v>64</v>
      </c>
      <c r="E64" s="20">
        <v>436</v>
      </c>
      <c r="F64" s="6" t="s">
        <v>24</v>
      </c>
      <c r="G64" s="6" t="s">
        <v>74</v>
      </c>
      <c r="H64" s="6" t="s">
        <v>974</v>
      </c>
      <c r="I64" s="6" t="s">
        <v>20</v>
      </c>
      <c r="J64" s="29">
        <v>44.838999999999999</v>
      </c>
      <c r="K64" s="8">
        <f t="shared" si="2"/>
        <v>1.6516559183893786</v>
      </c>
      <c r="L64" s="8">
        <f t="shared" si="3"/>
        <v>8.4082484824268651</v>
      </c>
      <c r="M64" s="8"/>
      <c r="N64" s="8"/>
      <c r="O64" s="8">
        <v>8.74</v>
      </c>
      <c r="P64" s="8">
        <f>1.22 + 4.641 + 1.826</f>
        <v>7.6869999999999994</v>
      </c>
      <c r="Q64" s="8"/>
      <c r="R64" s="8"/>
      <c r="S64" s="8">
        <v>8.1310000000000002</v>
      </c>
      <c r="T64" s="8">
        <f>1.973 + 4.298 + 2.022</f>
        <v>8.2929999999999993</v>
      </c>
      <c r="U64" s="8"/>
      <c r="V64" s="8">
        <f t="shared" si="21"/>
        <v>0.8795194508009152</v>
      </c>
      <c r="W64" s="8"/>
      <c r="X64" s="8">
        <f>T64/S64</f>
        <v>1.0199237486164063</v>
      </c>
      <c r="Y64" s="31">
        <f t="shared" si="4"/>
        <v>2.2403684637395092E-2</v>
      </c>
      <c r="Z64" s="31" t="str">
        <f t="shared" si="5"/>
        <v/>
      </c>
      <c r="AA64" s="31">
        <f t="shared" si="6"/>
        <v>2.2403684637395092E-2</v>
      </c>
      <c r="AC64" s="6"/>
      <c r="AD64" s="6"/>
      <c r="AE64" s="6"/>
      <c r="AF64" s="6"/>
      <c r="AG64" s="6"/>
      <c r="AH64" s="6"/>
      <c r="AI64" s="6"/>
      <c r="AJ64" s="6"/>
      <c r="AK64" s="3"/>
      <c r="AL64" s="4"/>
      <c r="AW64" s="6"/>
      <c r="AX64" s="6"/>
    </row>
    <row r="65" spans="1:57" x14ac:dyDescent="0.25">
      <c r="A65" s="6" t="str">
        <f t="shared" si="0"/>
        <v>complete</v>
      </c>
      <c r="B65" s="6" t="s">
        <v>65</v>
      </c>
      <c r="C65" s="6" t="str">
        <f t="shared" si="1"/>
        <v>FU31 436</v>
      </c>
      <c r="D65" s="6" t="s">
        <v>64</v>
      </c>
      <c r="E65" s="20">
        <v>436</v>
      </c>
      <c r="F65" s="6" t="s">
        <v>24</v>
      </c>
      <c r="G65" s="6" t="s">
        <v>75</v>
      </c>
      <c r="H65" s="6" t="s">
        <v>974</v>
      </c>
      <c r="I65" s="6" t="s">
        <v>20</v>
      </c>
      <c r="J65" s="29">
        <v>17.161000000000001</v>
      </c>
      <c r="K65" s="8">
        <f t="shared" si="2"/>
        <v>1.2345425913115287</v>
      </c>
      <c r="L65" s="8">
        <f t="shared" si="3"/>
        <v>7.4478095534082573</v>
      </c>
      <c r="M65" s="8"/>
      <c r="N65" s="8"/>
      <c r="O65" s="8">
        <v>2.3940000000000001</v>
      </c>
      <c r="P65" s="8">
        <f>0.601+1.182+1.435+0.711</f>
        <v>3.9289999999999998</v>
      </c>
      <c r="Q65" s="8"/>
      <c r="R65" s="8"/>
      <c r="S65" s="8">
        <v>3.0870000000000002</v>
      </c>
      <c r="T65" s="8">
        <f>0.515+1.832+0.711+1.392</f>
        <v>4.4499999999999993</v>
      </c>
      <c r="U65" s="8"/>
      <c r="V65" s="8">
        <f t="shared" si="21"/>
        <v>1.6411862990810357</v>
      </c>
      <c r="W65" s="8"/>
      <c r="X65" s="8">
        <f>T65/S65</f>
        <v>1.4415289925494004</v>
      </c>
      <c r="Y65" s="31">
        <f t="shared" si="4"/>
        <v>-0.18790342105620733</v>
      </c>
      <c r="Z65" s="31" t="str">
        <f t="shared" si="5"/>
        <v/>
      </c>
      <c r="AA65" s="31">
        <f t="shared" si="6"/>
        <v>-0.18790342105620733</v>
      </c>
      <c r="AW65" s="6"/>
      <c r="AX65" s="7"/>
    </row>
    <row r="66" spans="1:57" x14ac:dyDescent="0.25">
      <c r="A66" s="6" t="str">
        <f t="shared" ref="A66:A129" si="22">IF(J66&gt;0,"complete","fragment")</f>
        <v>fragment</v>
      </c>
      <c r="B66" s="6" t="s">
        <v>65</v>
      </c>
      <c r="C66" s="6" t="str">
        <f t="shared" ref="C66:C129" si="23">D66&amp;" "&amp;E66</f>
        <v>FU31 436</v>
      </c>
      <c r="D66" s="6" t="s">
        <v>64</v>
      </c>
      <c r="E66" s="20">
        <v>436</v>
      </c>
      <c r="F66" s="6" t="s">
        <v>24</v>
      </c>
      <c r="G66" s="6" t="s">
        <v>76</v>
      </c>
      <c r="H66" s="6" t="s">
        <v>974</v>
      </c>
      <c r="I66" s="6" t="s">
        <v>20</v>
      </c>
      <c r="J66" s="29"/>
      <c r="K66" s="8" t="str">
        <f t="shared" ref="K66:K129" si="24">IF(J66&gt;0,LOG(J66),"")</f>
        <v/>
      </c>
      <c r="L66" s="8" t="str">
        <f t="shared" ref="L66:L129" si="25">IF(J66&gt;0,LN(J66*100),"")</f>
        <v/>
      </c>
      <c r="M66" s="8"/>
      <c r="N66" s="8"/>
      <c r="O66" s="8">
        <v>5.7010000000000005</v>
      </c>
      <c r="P66" s="8">
        <f>1.011+2.016+1.712+1.25</f>
        <v>5.9889999999999999</v>
      </c>
      <c r="Q66" s="8">
        <v>1.984</v>
      </c>
      <c r="R66" s="8">
        <f>0.937+1.107+0.816</f>
        <v>2.86</v>
      </c>
      <c r="S66" s="8"/>
      <c r="T66" s="8"/>
      <c r="U66" s="8"/>
      <c r="V66" s="8">
        <f t="shared" si="21"/>
        <v>1.0505174530784072</v>
      </c>
      <c r="W66" s="8">
        <f>R66/Q66</f>
        <v>1.441532258064516</v>
      </c>
      <c r="X66" s="8"/>
      <c r="Y66" s="31">
        <f t="shared" ref="Y66:Y129" si="26">IF(COUNT(U66:X66)&gt;0,LOG(1/AVERAGE(U66:X66)),"")</f>
        <v>-9.5526705669751452E-2</v>
      </c>
      <c r="Z66" s="31">
        <f t="shared" ref="Z66:Z129" si="27">IF(A66="fragment",IF(ISNUMBER(Y66)=TRUE,Y66,""),"")</f>
        <v>-9.5526705669751452E-2</v>
      </c>
      <c r="AA66" s="31" t="str">
        <f t="shared" ref="AA66:AA129" si="28">IF(A66="complete",IF(ISNUMBER(Y66)=TRUE,Y66,""),"")</f>
        <v/>
      </c>
      <c r="AK66" s="40"/>
      <c r="AL66" s="41"/>
      <c r="AM66" s="37"/>
      <c r="AN66" s="37"/>
      <c r="AO66" s="40"/>
      <c r="AP66" s="41"/>
      <c r="AR66" s="41"/>
      <c r="AS66" s="41"/>
      <c r="AV66" s="40"/>
      <c r="AW66" s="6"/>
      <c r="AX66" s="8"/>
      <c r="BD66" s="40"/>
      <c r="BE66" s="42"/>
    </row>
    <row r="67" spans="1:57" x14ac:dyDescent="0.25">
      <c r="A67" s="6" t="str">
        <f t="shared" si="22"/>
        <v>fragment</v>
      </c>
      <c r="B67" s="6" t="s">
        <v>65</v>
      </c>
      <c r="C67" s="6" t="str">
        <f t="shared" si="23"/>
        <v>FU31 436</v>
      </c>
      <c r="D67" s="6" t="s">
        <v>64</v>
      </c>
      <c r="E67" s="20">
        <v>436</v>
      </c>
      <c r="F67" s="6" t="s">
        <v>24</v>
      </c>
      <c r="G67" s="6" t="s">
        <v>77</v>
      </c>
      <c r="H67" s="6" t="s">
        <v>974</v>
      </c>
      <c r="I67" s="6" t="s">
        <v>20</v>
      </c>
      <c r="J67" s="29"/>
      <c r="K67" s="8" t="str">
        <f t="shared" si="24"/>
        <v/>
      </c>
      <c r="L67" s="8" t="str">
        <f t="shared" si="25"/>
        <v/>
      </c>
      <c r="M67" s="8"/>
      <c r="N67" s="8"/>
      <c r="O67" s="8">
        <v>4.4400000000000004</v>
      </c>
      <c r="P67" s="8">
        <f>1.645+2.06+1.712+0.477</f>
        <v>5.8940000000000001</v>
      </c>
      <c r="Q67" s="8"/>
      <c r="R67" s="8"/>
      <c r="S67" s="8">
        <v>3.089</v>
      </c>
      <c r="T67" s="8">
        <f>1.144+1.494+0.771</f>
        <v>3.4089999999999998</v>
      </c>
      <c r="U67" s="8"/>
      <c r="V67" s="8">
        <f t="shared" si="21"/>
        <v>1.3274774774774774</v>
      </c>
      <c r="W67" s="8"/>
      <c r="X67" s="8">
        <f>T67/S67</f>
        <v>1.10359339592101</v>
      </c>
      <c r="Y67" s="31">
        <f t="shared" si="26"/>
        <v>-8.4767624420492488E-2</v>
      </c>
      <c r="Z67" s="31">
        <f t="shared" si="27"/>
        <v>-8.4767624420492488E-2</v>
      </c>
      <c r="AA67" s="31" t="str">
        <f t="shared" si="28"/>
        <v/>
      </c>
      <c r="AK67" s="3"/>
      <c r="AL67" s="43"/>
      <c r="AQ67" s="41"/>
      <c r="AX67" s="8"/>
    </row>
    <row r="68" spans="1:57" x14ac:dyDescent="0.25">
      <c r="A68" s="6" t="str">
        <f t="shared" si="22"/>
        <v>fragment</v>
      </c>
      <c r="B68" s="6" t="s">
        <v>65</v>
      </c>
      <c r="C68" s="6" t="str">
        <f t="shared" si="23"/>
        <v>FU31 436</v>
      </c>
      <c r="D68" s="6" t="s">
        <v>64</v>
      </c>
      <c r="E68" s="20">
        <v>436</v>
      </c>
      <c r="F68" s="6" t="s">
        <v>24</v>
      </c>
      <c r="G68" s="6" t="s">
        <v>78</v>
      </c>
      <c r="H68" s="6" t="s">
        <v>974</v>
      </c>
      <c r="I68" s="6" t="s">
        <v>20</v>
      </c>
      <c r="J68" s="29"/>
      <c r="K68" s="8" t="str">
        <f t="shared" si="24"/>
        <v/>
      </c>
      <c r="L68" s="8" t="str">
        <f t="shared" si="25"/>
        <v/>
      </c>
      <c r="M68" s="8"/>
      <c r="N68" s="8"/>
      <c r="O68" s="8">
        <v>7.8760000000000003</v>
      </c>
      <c r="P68" s="8">
        <f>1.516 + 2.751 + 2.15 + 1.988 + 0.938</f>
        <v>9.343</v>
      </c>
      <c r="Q68" s="8"/>
      <c r="R68" s="8"/>
      <c r="S68" s="8">
        <v>4.5170000000000003</v>
      </c>
      <c r="T68" s="8">
        <f>0.515 + 1.758 + 1.525 + 1.105</f>
        <v>4.9030000000000005</v>
      </c>
      <c r="U68" s="8"/>
      <c r="V68" s="8">
        <f t="shared" si="21"/>
        <v>1.1862620619603859</v>
      </c>
      <c r="W68" s="8"/>
      <c r="X68" s="8">
        <f>T68/S68</f>
        <v>1.0854549479743192</v>
      </c>
      <c r="Y68" s="31">
        <f t="shared" si="26"/>
        <v>-5.5324234245411594E-2</v>
      </c>
      <c r="Z68" s="31">
        <f t="shared" si="27"/>
        <v>-5.5324234245411594E-2</v>
      </c>
      <c r="AA68" s="31" t="str">
        <f t="shared" si="28"/>
        <v/>
      </c>
    </row>
    <row r="69" spans="1:57" x14ac:dyDescent="0.25">
      <c r="A69" s="6" t="str">
        <f t="shared" si="22"/>
        <v>fragment</v>
      </c>
      <c r="B69" s="6" t="s">
        <v>65</v>
      </c>
      <c r="C69" s="6" t="str">
        <f t="shared" si="23"/>
        <v>FU31 436</v>
      </c>
      <c r="D69" s="6" t="s">
        <v>64</v>
      </c>
      <c r="E69" s="20">
        <v>436</v>
      </c>
      <c r="F69" s="6" t="s">
        <v>24</v>
      </c>
      <c r="G69" s="6" t="s">
        <v>79</v>
      </c>
      <c r="H69" s="6" t="s">
        <v>974</v>
      </c>
      <c r="I69" s="6" t="s">
        <v>20</v>
      </c>
      <c r="J69" s="29"/>
      <c r="K69" s="8" t="str">
        <f t="shared" si="24"/>
        <v/>
      </c>
      <c r="L69" s="8" t="str">
        <f t="shared" si="25"/>
        <v/>
      </c>
      <c r="M69" s="8"/>
      <c r="N69" s="8"/>
      <c r="O69" s="8">
        <v>7.8339999999999996</v>
      </c>
      <c r="P69" s="8">
        <f>1.871+3.815+1.842</f>
        <v>7.5280000000000005</v>
      </c>
      <c r="Q69" s="8"/>
      <c r="R69" s="8"/>
      <c r="S69" s="8"/>
      <c r="T69" s="8"/>
      <c r="U69" s="8"/>
      <c r="V69" s="8">
        <f t="shared" si="21"/>
        <v>0.9609394945111055</v>
      </c>
      <c r="W69" s="8"/>
      <c r="X69" s="8"/>
      <c r="Y69" s="31">
        <f t="shared" si="26"/>
        <v>1.7303956792646583E-2</v>
      </c>
      <c r="Z69" s="31">
        <f t="shared" si="27"/>
        <v>1.7303956792646583E-2</v>
      </c>
      <c r="AA69" s="31" t="str">
        <f t="shared" si="28"/>
        <v/>
      </c>
    </row>
    <row r="70" spans="1:57" x14ac:dyDescent="0.25">
      <c r="A70" s="6" t="str">
        <f t="shared" si="22"/>
        <v>fragment</v>
      </c>
      <c r="B70" s="6" t="s">
        <v>65</v>
      </c>
      <c r="C70" s="6" t="str">
        <f t="shared" si="23"/>
        <v>FU31 436</v>
      </c>
      <c r="D70" s="6" t="s">
        <v>64</v>
      </c>
      <c r="E70" s="20">
        <v>436</v>
      </c>
      <c r="F70" s="6" t="s">
        <v>24</v>
      </c>
      <c r="G70" s="6" t="s">
        <v>80</v>
      </c>
      <c r="H70" s="6" t="s">
        <v>974</v>
      </c>
      <c r="I70" s="6" t="s">
        <v>20</v>
      </c>
      <c r="J70" s="29"/>
      <c r="K70" s="8" t="str">
        <f t="shared" si="24"/>
        <v/>
      </c>
      <c r="L70" s="8" t="str">
        <f t="shared" si="25"/>
        <v/>
      </c>
      <c r="M70" s="8">
        <v>0.88900000000000001</v>
      </c>
      <c r="N70" s="8">
        <f>1.72+0.465</f>
        <v>2.1850000000000001</v>
      </c>
      <c r="O70" s="8"/>
      <c r="P70" s="8"/>
      <c r="Q70" s="8"/>
      <c r="R70" s="8"/>
      <c r="S70" s="8">
        <v>1.302</v>
      </c>
      <c r="T70" s="8">
        <f>0.781+1.277</f>
        <v>2.0579999999999998</v>
      </c>
      <c r="U70" s="8">
        <f>N70/M70</f>
        <v>2.4578177727784025</v>
      </c>
      <c r="V70" s="8"/>
      <c r="W70" s="8"/>
      <c r="X70" s="8">
        <f>T70/S70</f>
        <v>1.5806451612903223</v>
      </c>
      <c r="Y70" s="31">
        <f t="shared" si="26"/>
        <v>-0.30518610551813197</v>
      </c>
      <c r="Z70" s="31">
        <f t="shared" si="27"/>
        <v>-0.30518610551813197</v>
      </c>
      <c r="AA70" s="31" t="str">
        <f t="shared" si="28"/>
        <v/>
      </c>
    </row>
    <row r="71" spans="1:57" x14ac:dyDescent="0.25">
      <c r="A71" s="6" t="str">
        <f t="shared" si="22"/>
        <v>complete</v>
      </c>
      <c r="B71" s="6" t="s">
        <v>65</v>
      </c>
      <c r="C71" s="6" t="str">
        <f t="shared" si="23"/>
        <v>FU31 436</v>
      </c>
      <c r="D71" s="6" t="s">
        <v>64</v>
      </c>
      <c r="E71" s="20">
        <v>436</v>
      </c>
      <c r="F71" s="6" t="s">
        <v>24</v>
      </c>
      <c r="G71" s="6" t="s">
        <v>81</v>
      </c>
      <c r="H71" s="6" t="s">
        <v>974</v>
      </c>
      <c r="I71" s="6" t="s">
        <v>20</v>
      </c>
      <c r="J71" s="29">
        <v>53.789000000000001</v>
      </c>
      <c r="K71" s="8">
        <f t="shared" si="24"/>
        <v>1.730693470317932</v>
      </c>
      <c r="L71" s="8">
        <f t="shared" si="25"/>
        <v>8.5902391712842938</v>
      </c>
      <c r="M71" s="8"/>
      <c r="N71" s="8"/>
      <c r="O71" s="8"/>
      <c r="P71" s="8"/>
      <c r="Q71" s="8">
        <v>4.25</v>
      </c>
      <c r="R71" s="8">
        <f>1.033 + 1.738 + 1.853 + 0.547</f>
        <v>5.1709999999999994</v>
      </c>
      <c r="S71" s="8">
        <v>11.302</v>
      </c>
      <c r="T71" s="8">
        <f>1.116 + 2.53 + 2.963 + 3.225 + 1.66</f>
        <v>11.494</v>
      </c>
      <c r="U71" s="8"/>
      <c r="V71" s="8"/>
      <c r="W71" s="8">
        <f>R71/Q71</f>
        <v>1.2167058823529411</v>
      </c>
      <c r="X71" s="8">
        <f>T71/S71</f>
        <v>1.0169881436913821</v>
      </c>
      <c r="Y71" s="31">
        <f t="shared" si="26"/>
        <v>-4.7993687036217876E-2</v>
      </c>
      <c r="Z71" s="31" t="str">
        <f t="shared" si="27"/>
        <v/>
      </c>
      <c r="AA71" s="31">
        <f t="shared" si="28"/>
        <v>-4.7993687036217876E-2</v>
      </c>
    </row>
    <row r="72" spans="1:57" x14ac:dyDescent="0.25">
      <c r="A72" s="6" t="str">
        <f t="shared" si="22"/>
        <v>complete</v>
      </c>
      <c r="B72" s="6" t="s">
        <v>65</v>
      </c>
      <c r="C72" s="6" t="str">
        <f t="shared" si="23"/>
        <v>FU31 436</v>
      </c>
      <c r="D72" s="6" t="s">
        <v>64</v>
      </c>
      <c r="E72" s="20">
        <v>436</v>
      </c>
      <c r="F72" s="6" t="s">
        <v>24</v>
      </c>
      <c r="G72" s="6" t="s">
        <v>82</v>
      </c>
      <c r="H72" s="6" t="s">
        <v>974</v>
      </c>
      <c r="I72" s="6" t="s">
        <v>20</v>
      </c>
      <c r="J72" s="29">
        <f>2*17.90335</f>
        <v>35.806699999999999</v>
      </c>
      <c r="K72" s="8">
        <f t="shared" si="24"/>
        <v>1.5539642976153685</v>
      </c>
      <c r="L72" s="8">
        <f t="shared" si="25"/>
        <v>8.1833052127222015</v>
      </c>
      <c r="M72" s="8"/>
      <c r="N72" s="8"/>
      <c r="O72" s="8">
        <v>6.9</v>
      </c>
      <c r="P72" s="8">
        <f>0.88 + 2.991 + 2.642 + 1.973 + 0.669</f>
        <v>9.1550000000000011</v>
      </c>
      <c r="Q72" s="8"/>
      <c r="R72" s="8"/>
      <c r="S72" s="8"/>
      <c r="T72" s="8"/>
      <c r="U72" s="8"/>
      <c r="V72" s="8">
        <f t="shared" ref="V72:V79" si="29">P72/O72</f>
        <v>1.3268115942028986</v>
      </c>
      <c r="W72" s="8"/>
      <c r="X72" s="8"/>
      <c r="Y72" s="31">
        <f t="shared" si="26"/>
        <v>-0.12280925790045998</v>
      </c>
      <c r="Z72" s="31" t="str">
        <f t="shared" si="27"/>
        <v/>
      </c>
      <c r="AA72" s="31">
        <f t="shared" si="28"/>
        <v>-0.12280925790045998</v>
      </c>
    </row>
    <row r="73" spans="1:57" x14ac:dyDescent="0.25">
      <c r="A73" s="6" t="str">
        <f t="shared" si="22"/>
        <v>fragment</v>
      </c>
      <c r="B73" s="6" t="s">
        <v>65</v>
      </c>
      <c r="C73" s="6" t="str">
        <f t="shared" si="23"/>
        <v>FU31 436</v>
      </c>
      <c r="D73" s="6" t="s">
        <v>64</v>
      </c>
      <c r="E73" s="20">
        <v>436</v>
      </c>
      <c r="F73" s="6" t="s">
        <v>24</v>
      </c>
      <c r="G73" s="6" t="s">
        <v>83</v>
      </c>
      <c r="H73" s="6" t="s">
        <v>974</v>
      </c>
      <c r="I73" s="6" t="s">
        <v>20</v>
      </c>
      <c r="J73" s="29"/>
      <c r="K73" s="8" t="str">
        <f t="shared" si="24"/>
        <v/>
      </c>
      <c r="L73" s="8" t="str">
        <f t="shared" si="25"/>
        <v/>
      </c>
      <c r="M73" s="8"/>
      <c r="N73" s="8"/>
      <c r="O73" s="8">
        <v>6.444</v>
      </c>
      <c r="P73" s="8">
        <f>0.636 + 5.068 + 2.732 + 1.272</f>
        <v>9.7080000000000002</v>
      </c>
      <c r="Q73" s="8"/>
      <c r="R73" s="8"/>
      <c r="S73" s="8">
        <v>4.7039999999999997</v>
      </c>
      <c r="T73" s="8">
        <f>0.911 + 1.954 + 2.446 + 1.621</f>
        <v>6.9320000000000004</v>
      </c>
      <c r="U73" s="8"/>
      <c r="V73" s="8">
        <f t="shared" si="29"/>
        <v>1.5065176908752329</v>
      </c>
      <c r="W73" s="8"/>
      <c r="X73" s="8">
        <f>T73/S73</f>
        <v>1.4736394557823131</v>
      </c>
      <c r="Y73" s="31">
        <f t="shared" si="26"/>
        <v>-0.1732091697971061</v>
      </c>
      <c r="Z73" s="31">
        <f t="shared" si="27"/>
        <v>-0.1732091697971061</v>
      </c>
      <c r="AA73" s="31" t="str">
        <f t="shared" si="28"/>
        <v/>
      </c>
    </row>
    <row r="74" spans="1:57" x14ac:dyDescent="0.25">
      <c r="A74" s="6" t="str">
        <f t="shared" si="22"/>
        <v>fragment</v>
      </c>
      <c r="B74" s="6" t="s">
        <v>65</v>
      </c>
      <c r="C74" s="6" t="str">
        <f t="shared" si="23"/>
        <v>FU31 436</v>
      </c>
      <c r="D74" s="6" t="s">
        <v>64</v>
      </c>
      <c r="E74" s="20">
        <v>436</v>
      </c>
      <c r="F74" s="6" t="s">
        <v>24</v>
      </c>
      <c r="G74" s="6" t="s">
        <v>84</v>
      </c>
      <c r="H74" s="6" t="s">
        <v>974</v>
      </c>
      <c r="I74" s="6" t="s">
        <v>20</v>
      </c>
      <c r="J74" s="29"/>
      <c r="K74" s="8" t="str">
        <f t="shared" si="24"/>
        <v/>
      </c>
      <c r="L74" s="8" t="str">
        <f t="shared" si="25"/>
        <v/>
      </c>
      <c r="M74" s="8"/>
      <c r="N74" s="8"/>
      <c r="O74" s="8">
        <v>2.6880000000000002</v>
      </c>
      <c r="P74" s="8">
        <f>1.18+1.581+0.402</f>
        <v>3.1630000000000003</v>
      </c>
      <c r="Q74" s="8">
        <v>4.1859999999999999</v>
      </c>
      <c r="R74" s="8">
        <f>0.736+1.714+1.931+1.166</f>
        <v>5.5470000000000006</v>
      </c>
      <c r="S74" s="8"/>
      <c r="T74" s="8"/>
      <c r="U74" s="8"/>
      <c r="V74" s="8">
        <f t="shared" si="29"/>
        <v>1.1767113095238095</v>
      </c>
      <c r="W74" s="8">
        <f>R74/Q74</f>
        <v>1.3251313903487818</v>
      </c>
      <c r="X74" s="8"/>
      <c r="Y74" s="31">
        <f t="shared" si="26"/>
        <v>-9.723000484734215E-2</v>
      </c>
      <c r="Z74" s="31">
        <f t="shared" si="27"/>
        <v>-9.723000484734215E-2</v>
      </c>
      <c r="AA74" s="31" t="str">
        <f t="shared" si="28"/>
        <v/>
      </c>
    </row>
    <row r="75" spans="1:57" x14ac:dyDescent="0.25">
      <c r="A75" s="6" t="str">
        <f t="shared" si="22"/>
        <v>fragment</v>
      </c>
      <c r="B75" s="6" t="s">
        <v>65</v>
      </c>
      <c r="C75" s="6" t="str">
        <f t="shared" si="23"/>
        <v>FU31 436</v>
      </c>
      <c r="D75" s="6" t="s">
        <v>64</v>
      </c>
      <c r="E75" s="20">
        <v>436</v>
      </c>
      <c r="F75" s="6" t="s">
        <v>24</v>
      </c>
      <c r="G75" s="6" t="s">
        <v>85</v>
      </c>
      <c r="H75" s="6" t="s">
        <v>974</v>
      </c>
      <c r="I75" s="6" t="s">
        <v>20</v>
      </c>
      <c r="J75" s="29"/>
      <c r="K75" s="8" t="str">
        <f t="shared" si="24"/>
        <v/>
      </c>
      <c r="L75" s="8" t="str">
        <f t="shared" si="25"/>
        <v/>
      </c>
      <c r="M75" s="8">
        <v>1.5069999999999999</v>
      </c>
      <c r="N75" s="8">
        <f>0.547 + 1.359 + 0.66</f>
        <v>2.5660000000000003</v>
      </c>
      <c r="O75" s="8">
        <v>6.9870000000000001</v>
      </c>
      <c r="P75" s="8">
        <f>1.219 + 2.528 + 2.244 + 2.031 + 1.796 + 0.812</f>
        <v>10.629999999999999</v>
      </c>
      <c r="Q75" s="8"/>
      <c r="R75" s="8"/>
      <c r="S75" s="8"/>
      <c r="T75" s="8"/>
      <c r="U75" s="8">
        <f>N75/M75</f>
        <v>1.7027206370272068</v>
      </c>
      <c r="V75" s="8">
        <f t="shared" si="29"/>
        <v>1.521396879919851</v>
      </c>
      <c r="W75" s="8"/>
      <c r="X75" s="8"/>
      <c r="Y75" s="31">
        <f t="shared" si="26"/>
        <v>-0.20738086750365442</v>
      </c>
      <c r="Z75" s="31">
        <f t="shared" si="27"/>
        <v>-0.20738086750365442</v>
      </c>
      <c r="AA75" s="31" t="str">
        <f t="shared" si="28"/>
        <v/>
      </c>
    </row>
    <row r="76" spans="1:57" x14ac:dyDescent="0.25">
      <c r="A76" s="6" t="str">
        <f t="shared" si="22"/>
        <v>complete</v>
      </c>
      <c r="B76" s="6" t="s">
        <v>65</v>
      </c>
      <c r="C76" s="6" t="str">
        <f t="shared" si="23"/>
        <v>FU31 436</v>
      </c>
      <c r="D76" s="6" t="s">
        <v>64</v>
      </c>
      <c r="E76" s="20">
        <v>436</v>
      </c>
      <c r="F76" s="6" t="s">
        <v>24</v>
      </c>
      <c r="G76" s="6" t="s">
        <v>86</v>
      </c>
      <c r="H76" s="6" t="s">
        <v>974</v>
      </c>
      <c r="I76" s="6" t="s">
        <v>20</v>
      </c>
      <c r="J76" s="29">
        <f>2*13.92195</f>
        <v>27.843900000000001</v>
      </c>
      <c r="K76" s="8">
        <f t="shared" si="24"/>
        <v>1.4447300653442394</v>
      </c>
      <c r="L76" s="8">
        <f t="shared" si="25"/>
        <v>7.9317840978500502</v>
      </c>
      <c r="M76" s="8"/>
      <c r="N76" s="8"/>
      <c r="O76" s="8">
        <v>5.9560000000000004</v>
      </c>
      <c r="P76" s="8">
        <f>1.725+0.409+3.939+1.109</f>
        <v>7.1820000000000004</v>
      </c>
      <c r="Q76" s="8">
        <v>0.91700000000000004</v>
      </c>
      <c r="R76" s="8">
        <f>0.879+0.847</f>
        <v>1.726</v>
      </c>
      <c r="S76" s="8"/>
      <c r="T76" s="8"/>
      <c r="U76" s="8"/>
      <c r="V76" s="8">
        <f t="shared" si="29"/>
        <v>1.2058428475486904</v>
      </c>
      <c r="W76" s="8">
        <f>R76/Q76</f>
        <v>1.8822246455834242</v>
      </c>
      <c r="X76" s="8"/>
      <c r="Y76" s="31">
        <f t="shared" si="26"/>
        <v>-0.1886567880899114</v>
      </c>
      <c r="Z76" s="31" t="str">
        <f t="shared" si="27"/>
        <v/>
      </c>
      <c r="AA76" s="31">
        <f t="shared" si="28"/>
        <v>-0.1886567880899114</v>
      </c>
    </row>
    <row r="77" spans="1:57" x14ac:dyDescent="0.25">
      <c r="A77" s="6" t="str">
        <f t="shared" si="22"/>
        <v>fragment</v>
      </c>
      <c r="B77" s="6" t="s">
        <v>65</v>
      </c>
      <c r="C77" s="6" t="str">
        <f t="shared" si="23"/>
        <v>FU31 436</v>
      </c>
      <c r="D77" s="6" t="s">
        <v>64</v>
      </c>
      <c r="E77" s="20">
        <v>436</v>
      </c>
      <c r="F77" s="6" t="s">
        <v>24</v>
      </c>
      <c r="G77" s="6" t="s">
        <v>87</v>
      </c>
      <c r="H77" s="6" t="s">
        <v>974</v>
      </c>
      <c r="I77" s="6" t="s">
        <v>20</v>
      </c>
      <c r="J77" s="29"/>
      <c r="K77" s="8" t="str">
        <f t="shared" si="24"/>
        <v/>
      </c>
      <c r="L77" s="8" t="str">
        <f t="shared" si="25"/>
        <v/>
      </c>
      <c r="M77" s="8">
        <v>3.8319999999999999</v>
      </c>
      <c r="N77" s="8">
        <f>1.902+1.57</f>
        <v>3.472</v>
      </c>
      <c r="O77" s="8">
        <v>13.471</v>
      </c>
      <c r="P77" s="8">
        <f>0.912 + 2.92 + 3.612 + 4.28 + 1.869</f>
        <v>13.593</v>
      </c>
      <c r="Q77" s="8"/>
      <c r="R77" s="8"/>
      <c r="S77" s="8"/>
      <c r="T77" s="8"/>
      <c r="U77" s="8">
        <f>N77/M77</f>
        <v>0.90605427974947805</v>
      </c>
      <c r="V77" s="8">
        <f t="shared" si="29"/>
        <v>1.0090564917229605</v>
      </c>
      <c r="W77" s="8"/>
      <c r="X77" s="8"/>
      <c r="Y77" s="31">
        <f t="shared" si="26"/>
        <v>1.8836096707684252E-2</v>
      </c>
      <c r="Z77" s="31">
        <f t="shared" si="27"/>
        <v>1.8836096707684252E-2</v>
      </c>
      <c r="AA77" s="31" t="str">
        <f t="shared" si="28"/>
        <v/>
      </c>
    </row>
    <row r="78" spans="1:57" x14ac:dyDescent="0.25">
      <c r="A78" s="6" t="str">
        <f t="shared" si="22"/>
        <v>fragment</v>
      </c>
      <c r="B78" s="6" t="s">
        <v>65</v>
      </c>
      <c r="C78" s="6" t="str">
        <f t="shared" si="23"/>
        <v>FU31 436</v>
      </c>
      <c r="D78" s="6" t="s">
        <v>64</v>
      </c>
      <c r="E78" s="20">
        <v>436</v>
      </c>
      <c r="F78" s="6" t="s">
        <v>24</v>
      </c>
      <c r="G78" s="6" t="s">
        <v>88</v>
      </c>
      <c r="H78" s="6" t="s">
        <v>974</v>
      </c>
      <c r="I78" s="6" t="s">
        <v>20</v>
      </c>
      <c r="J78" s="29"/>
      <c r="K78" s="8" t="str">
        <f t="shared" si="24"/>
        <v/>
      </c>
      <c r="L78" s="8" t="str">
        <f t="shared" si="25"/>
        <v/>
      </c>
      <c r="M78" s="8"/>
      <c r="N78" s="8"/>
      <c r="O78" s="8">
        <v>2.8119999999999998</v>
      </c>
      <c r="P78" s="8">
        <f>0.729 + 2.889 + 1.041</f>
        <v>4.6589999999999998</v>
      </c>
      <c r="Q78" s="8"/>
      <c r="R78" s="8"/>
      <c r="S78" s="8">
        <v>5.0149999999999997</v>
      </c>
      <c r="T78" s="8">
        <f>3.46 + 2.729 + 1.197</f>
        <v>7.3860000000000001</v>
      </c>
      <c r="U78" s="8"/>
      <c r="V78" s="8">
        <f t="shared" si="29"/>
        <v>1.6568278805120911</v>
      </c>
      <c r="W78" s="8"/>
      <c r="X78" s="8">
        <f>T78/S78</f>
        <v>1.4727816550348953</v>
      </c>
      <c r="Y78" s="31">
        <f t="shared" si="26"/>
        <v>-0.19446016068903021</v>
      </c>
      <c r="Z78" s="31">
        <f t="shared" si="27"/>
        <v>-0.19446016068903021</v>
      </c>
      <c r="AA78" s="31" t="str">
        <f t="shared" si="28"/>
        <v/>
      </c>
    </row>
    <row r="79" spans="1:57" x14ac:dyDescent="0.25">
      <c r="A79" s="6" t="str">
        <f t="shared" si="22"/>
        <v>complete</v>
      </c>
      <c r="B79" s="6" t="s">
        <v>65</v>
      </c>
      <c r="C79" s="6" t="str">
        <f t="shared" si="23"/>
        <v>FU31 436</v>
      </c>
      <c r="D79" s="6" t="s">
        <v>64</v>
      </c>
      <c r="E79" s="20">
        <v>436</v>
      </c>
      <c r="F79" s="6" t="s">
        <v>24</v>
      </c>
      <c r="G79" s="6" t="s">
        <v>89</v>
      </c>
      <c r="H79" s="6" t="s">
        <v>974</v>
      </c>
      <c r="I79" s="6" t="s">
        <v>20</v>
      </c>
      <c r="J79" s="29">
        <v>15.938000000000001</v>
      </c>
      <c r="K79" s="8">
        <f t="shared" si="24"/>
        <v>1.202433822489233</v>
      </c>
      <c r="L79" s="8">
        <f t="shared" si="25"/>
        <v>7.3738763809636474</v>
      </c>
      <c r="M79" s="8"/>
      <c r="N79" s="8"/>
      <c r="O79" s="8">
        <v>3.0640000000000001</v>
      </c>
      <c r="P79" s="8">
        <f>0.533 + 1.432 + 1.651 + 1.655 + 0.751</f>
        <v>6.0220000000000002</v>
      </c>
      <c r="Q79" s="8"/>
      <c r="R79" s="8"/>
      <c r="S79" s="8">
        <v>3.4689999999999999</v>
      </c>
      <c r="T79" s="8">
        <f>0.607 + 1.522 + 1.829 + 1.677 + 0.611</f>
        <v>6.2459999999999996</v>
      </c>
      <c r="U79" s="8"/>
      <c r="V79" s="8">
        <f t="shared" si="29"/>
        <v>1.9654046997389034</v>
      </c>
      <c r="W79" s="8"/>
      <c r="X79" s="8">
        <f>T79/S79</f>
        <v>1.8005188815220523</v>
      </c>
      <c r="Y79" s="31">
        <f t="shared" si="26"/>
        <v>-0.27484150733121365</v>
      </c>
      <c r="Z79" s="31" t="str">
        <f t="shared" si="27"/>
        <v/>
      </c>
      <c r="AA79" s="31">
        <f t="shared" si="28"/>
        <v>-0.27484150733121365</v>
      </c>
    </row>
    <row r="80" spans="1:57" x14ac:dyDescent="0.25">
      <c r="A80" s="6" t="str">
        <f t="shared" si="22"/>
        <v>fragment</v>
      </c>
      <c r="B80" s="6" t="s">
        <v>65</v>
      </c>
      <c r="C80" s="6" t="str">
        <f t="shared" si="23"/>
        <v>FU31 436</v>
      </c>
      <c r="D80" s="6" t="s">
        <v>64</v>
      </c>
      <c r="E80" s="20">
        <v>436</v>
      </c>
      <c r="F80" s="6" t="s">
        <v>24</v>
      </c>
      <c r="G80" s="6" t="s">
        <v>91</v>
      </c>
      <c r="H80" s="6" t="s">
        <v>974</v>
      </c>
      <c r="I80" s="6" t="s">
        <v>20</v>
      </c>
      <c r="J80" s="29"/>
      <c r="K80" s="8" t="str">
        <f t="shared" si="24"/>
        <v/>
      </c>
      <c r="L80" s="8" t="str">
        <f t="shared" si="25"/>
        <v/>
      </c>
      <c r="M80" s="8">
        <v>4.6539999999999999</v>
      </c>
      <c r="N80" s="8">
        <f>1.123+3.74+0.999</f>
        <v>5.8620000000000001</v>
      </c>
      <c r="O80" s="8"/>
      <c r="P80" s="8"/>
      <c r="Q80" s="8"/>
      <c r="R80" s="8"/>
      <c r="S80" s="8">
        <v>2.371</v>
      </c>
      <c r="T80" s="8">
        <f>1.458+1.416</f>
        <v>2.8739999999999997</v>
      </c>
      <c r="U80" s="8">
        <f>N80/M80</f>
        <v>1.2595616673828964</v>
      </c>
      <c r="V80" s="8"/>
      <c r="W80" s="8"/>
      <c r="X80" s="8">
        <f>T80/S80</f>
        <v>1.2121467735132854</v>
      </c>
      <c r="Y80" s="31">
        <f t="shared" si="26"/>
        <v>-9.1967245033644091E-2</v>
      </c>
      <c r="Z80" s="31">
        <f t="shared" si="27"/>
        <v>-9.1967245033644091E-2</v>
      </c>
      <c r="AA80" s="31" t="str">
        <f t="shared" si="28"/>
        <v/>
      </c>
    </row>
    <row r="81" spans="1:27" x14ac:dyDescent="0.25">
      <c r="A81" s="6" t="str">
        <f t="shared" si="22"/>
        <v>fragment</v>
      </c>
      <c r="B81" s="6" t="s">
        <v>65</v>
      </c>
      <c r="C81" s="6" t="str">
        <f t="shared" si="23"/>
        <v>FU31 441</v>
      </c>
      <c r="D81" s="6" t="s">
        <v>64</v>
      </c>
      <c r="E81" s="20">
        <v>441</v>
      </c>
      <c r="F81" s="6" t="s">
        <v>1</v>
      </c>
      <c r="G81" s="6" t="s">
        <v>66</v>
      </c>
      <c r="H81" s="6" t="s">
        <v>977</v>
      </c>
      <c r="I81" s="6" t="s">
        <v>20</v>
      </c>
      <c r="J81" s="29"/>
      <c r="K81" s="8" t="str">
        <f t="shared" si="24"/>
        <v/>
      </c>
      <c r="L81" s="8" t="str">
        <f t="shared" si="25"/>
        <v/>
      </c>
      <c r="M81" s="8"/>
      <c r="N81" s="8"/>
      <c r="O81" s="8">
        <v>8.0990000000000002</v>
      </c>
      <c r="P81" s="8">
        <f>0.881+2.448+0.368+2.831+2.682+1.049</f>
        <v>10.258999999999999</v>
      </c>
      <c r="Q81" s="8">
        <v>3.4780000000000002</v>
      </c>
      <c r="R81" s="8">
        <f>0.558+2.022+2.058+1.094</f>
        <v>5.7320000000000002</v>
      </c>
      <c r="S81" s="8"/>
      <c r="T81" s="8"/>
      <c r="U81" s="8"/>
      <c r="V81" s="8">
        <f t="shared" ref="V81:V96" si="30">P81/O81</f>
        <v>1.266699592542289</v>
      </c>
      <c r="W81" s="8">
        <f>R81/Q81</f>
        <v>1.6480736055204139</v>
      </c>
      <c r="X81" s="8"/>
      <c r="Y81" s="31">
        <f t="shared" si="26"/>
        <v>-0.16357477178031118</v>
      </c>
      <c r="Z81" s="31">
        <f t="shared" si="27"/>
        <v>-0.16357477178031118</v>
      </c>
      <c r="AA81" s="31" t="str">
        <f t="shared" si="28"/>
        <v/>
      </c>
    </row>
    <row r="82" spans="1:27" x14ac:dyDescent="0.25">
      <c r="A82" s="6" t="str">
        <f t="shared" si="22"/>
        <v>complete</v>
      </c>
      <c r="B82" s="6" t="s">
        <v>65</v>
      </c>
      <c r="C82" s="6" t="str">
        <f t="shared" si="23"/>
        <v>FU31 441</v>
      </c>
      <c r="D82" s="6" t="s">
        <v>64</v>
      </c>
      <c r="E82" s="20">
        <v>441</v>
      </c>
      <c r="F82" s="6" t="s">
        <v>1</v>
      </c>
      <c r="G82" s="6" t="s">
        <v>67</v>
      </c>
      <c r="H82" s="6" t="s">
        <v>977</v>
      </c>
      <c r="I82" s="6" t="s">
        <v>20</v>
      </c>
      <c r="J82" s="29">
        <v>21.623000000000001</v>
      </c>
      <c r="K82" s="8">
        <f t="shared" si="24"/>
        <v>1.3349159483157076</v>
      </c>
      <c r="L82" s="8">
        <f t="shared" si="25"/>
        <v>7.6789277489798495</v>
      </c>
      <c r="M82" s="8"/>
      <c r="N82" s="8"/>
      <c r="O82" s="8">
        <v>1.929</v>
      </c>
      <c r="P82" s="8">
        <f>0.725+1.651+0.511</f>
        <v>2.887</v>
      </c>
      <c r="Q82" s="8"/>
      <c r="R82" s="8"/>
      <c r="S82" s="8">
        <v>3.92</v>
      </c>
      <c r="T82" s="8">
        <f>0.798+1.881+1.911+0.882+0.301</f>
        <v>5.7729999999999997</v>
      </c>
      <c r="U82" s="8"/>
      <c r="V82" s="8">
        <f t="shared" si="30"/>
        <v>1.4966303784344219</v>
      </c>
      <c r="W82" s="8"/>
      <c r="X82" s="8">
        <f>T82/S82</f>
        <v>1.4727040816326531</v>
      </c>
      <c r="Y82" s="31">
        <f t="shared" si="26"/>
        <v>-0.17162912277432249</v>
      </c>
      <c r="Z82" s="31" t="str">
        <f t="shared" si="27"/>
        <v/>
      </c>
      <c r="AA82" s="31">
        <f t="shared" si="28"/>
        <v>-0.17162912277432249</v>
      </c>
    </row>
    <row r="83" spans="1:27" x14ac:dyDescent="0.25">
      <c r="A83" s="6" t="str">
        <f t="shared" si="22"/>
        <v>fragment</v>
      </c>
      <c r="B83" s="6" t="s">
        <v>65</v>
      </c>
      <c r="C83" s="6" t="str">
        <f t="shared" si="23"/>
        <v>FU31 441</v>
      </c>
      <c r="D83" s="6" t="s">
        <v>64</v>
      </c>
      <c r="E83" s="20">
        <v>441</v>
      </c>
      <c r="F83" s="6" t="s">
        <v>1</v>
      </c>
      <c r="G83" s="6" t="s">
        <v>68</v>
      </c>
      <c r="H83" s="6" t="s">
        <v>977</v>
      </c>
      <c r="I83" s="6" t="s">
        <v>20</v>
      </c>
      <c r="J83" s="29"/>
      <c r="K83" s="8" t="str">
        <f t="shared" si="24"/>
        <v/>
      </c>
      <c r="L83" s="8" t="str">
        <f t="shared" si="25"/>
        <v/>
      </c>
      <c r="M83" s="8"/>
      <c r="N83" s="8"/>
      <c r="O83" s="8">
        <v>13.757999999999999</v>
      </c>
      <c r="P83" s="8">
        <f>1.485+2.933+3.343+0.865+2.79</f>
        <v>11.416</v>
      </c>
      <c r="Q83" s="8">
        <v>11.268000000000001</v>
      </c>
      <c r="R83" s="8">
        <f>0.98+3.011+3.318+3.369+1.049</f>
        <v>11.727</v>
      </c>
      <c r="S83" s="8"/>
      <c r="T83" s="8"/>
      <c r="U83" s="8"/>
      <c r="V83" s="8">
        <f t="shared" si="30"/>
        <v>0.82977176915249318</v>
      </c>
      <c r="W83" s="8">
        <f>R83/Q83</f>
        <v>1.0407348242811501</v>
      </c>
      <c r="X83" s="8"/>
      <c r="Y83" s="31">
        <f t="shared" si="26"/>
        <v>2.9070752262715785E-2</v>
      </c>
      <c r="Z83" s="31">
        <f t="shared" si="27"/>
        <v>2.9070752262715785E-2</v>
      </c>
      <c r="AA83" s="31" t="str">
        <f t="shared" si="28"/>
        <v/>
      </c>
    </row>
    <row r="84" spans="1:27" x14ac:dyDescent="0.25">
      <c r="A84" s="6" t="str">
        <f t="shared" si="22"/>
        <v>complete</v>
      </c>
      <c r="B84" s="6" t="s">
        <v>65</v>
      </c>
      <c r="C84" s="6" t="str">
        <f t="shared" si="23"/>
        <v>FU31 562</v>
      </c>
      <c r="D84" s="6" t="s">
        <v>64</v>
      </c>
      <c r="E84" s="20">
        <v>562</v>
      </c>
      <c r="F84" s="6" t="s">
        <v>13</v>
      </c>
      <c r="G84" s="6" t="s">
        <v>69</v>
      </c>
      <c r="H84" s="6" t="s">
        <v>976</v>
      </c>
      <c r="I84" s="6" t="s">
        <v>5</v>
      </c>
      <c r="J84" s="29">
        <v>7.44224</v>
      </c>
      <c r="K84" s="8">
        <f t="shared" si="24"/>
        <v>0.87170367119411574</v>
      </c>
      <c r="L84" s="8">
        <f t="shared" si="25"/>
        <v>6.6123420647878453</v>
      </c>
      <c r="M84" s="8"/>
      <c r="N84" s="8"/>
      <c r="O84" s="8">
        <v>0.79900000000000004</v>
      </c>
      <c r="P84" s="8">
        <f>0.387+0.562+0.566+0.456</f>
        <v>1.9710000000000001</v>
      </c>
      <c r="Q84" s="8"/>
      <c r="R84" s="8"/>
      <c r="S84" s="8">
        <v>0.46300000000000002</v>
      </c>
      <c r="T84" s="8">
        <f>0.237+0.46+0.425+0.371</f>
        <v>1.4930000000000001</v>
      </c>
      <c r="U84" s="8"/>
      <c r="V84" s="8">
        <f t="shared" si="30"/>
        <v>2.4668335419274094</v>
      </c>
      <c r="W84" s="8"/>
      <c r="X84" s="8">
        <f>T84/S84</f>
        <v>3.224622030237581</v>
      </c>
      <c r="Y84" s="31">
        <f t="shared" si="26"/>
        <v>-0.45419335440728686</v>
      </c>
      <c r="Z84" s="31" t="str">
        <f t="shared" si="27"/>
        <v/>
      </c>
      <c r="AA84" s="31">
        <f t="shared" si="28"/>
        <v>-0.45419335440728686</v>
      </c>
    </row>
    <row r="85" spans="1:27" x14ac:dyDescent="0.25">
      <c r="A85" s="6" t="str">
        <f t="shared" si="22"/>
        <v>complete</v>
      </c>
      <c r="B85" s="6" t="s">
        <v>65</v>
      </c>
      <c r="C85" s="6" t="str">
        <f t="shared" si="23"/>
        <v>FU31 562</v>
      </c>
      <c r="D85" s="6" t="s">
        <v>64</v>
      </c>
      <c r="E85" s="20">
        <v>562</v>
      </c>
      <c r="F85" s="6" t="s">
        <v>13</v>
      </c>
      <c r="G85" s="6" t="s">
        <v>70</v>
      </c>
      <c r="H85" s="6" t="s">
        <v>976</v>
      </c>
      <c r="I85" s="6" t="s">
        <v>20</v>
      </c>
      <c r="J85" s="29">
        <f>14.74*2</f>
        <v>29.48</v>
      </c>
      <c r="K85" s="8">
        <f t="shared" si="24"/>
        <v>1.4695274791870139</v>
      </c>
      <c r="L85" s="8">
        <f t="shared" si="25"/>
        <v>7.9888822533092272</v>
      </c>
      <c r="M85" s="8"/>
      <c r="N85" s="8"/>
      <c r="O85" s="8">
        <v>6.5869999999999997</v>
      </c>
      <c r="P85" s="8">
        <f>1.186 + 2.112 + 2.677 + 2.41 + 1.083</f>
        <v>9.468</v>
      </c>
      <c r="Q85" s="8"/>
      <c r="R85" s="8"/>
      <c r="S85" s="8">
        <v>1.6719999999999999</v>
      </c>
      <c r="T85" s="8">
        <f>0.831 + 0.868 + 0.587</f>
        <v>2.2859999999999996</v>
      </c>
      <c r="U85" s="8"/>
      <c r="V85" s="8">
        <f t="shared" si="30"/>
        <v>1.4373766509792014</v>
      </c>
      <c r="W85" s="8"/>
      <c r="X85" s="8">
        <f>T85/S85</f>
        <v>1.3672248803827749</v>
      </c>
      <c r="Y85" s="31">
        <f t="shared" si="26"/>
        <v>-0.14684117116759055</v>
      </c>
      <c r="Z85" s="31" t="str">
        <f t="shared" si="27"/>
        <v/>
      </c>
      <c r="AA85" s="31">
        <f t="shared" si="28"/>
        <v>-0.14684117116759055</v>
      </c>
    </row>
    <row r="86" spans="1:27" x14ac:dyDescent="0.25">
      <c r="A86" s="6" t="str">
        <f t="shared" si="22"/>
        <v>fragment</v>
      </c>
      <c r="B86" s="6" t="s">
        <v>65</v>
      </c>
      <c r="C86" s="6" t="str">
        <f t="shared" si="23"/>
        <v>FU31 562</v>
      </c>
      <c r="D86" s="6" t="s">
        <v>64</v>
      </c>
      <c r="E86" s="20">
        <v>562</v>
      </c>
      <c r="F86" s="6" t="s">
        <v>13</v>
      </c>
      <c r="G86" s="6" t="s">
        <v>71</v>
      </c>
      <c r="H86" s="6" t="s">
        <v>976</v>
      </c>
      <c r="I86" s="6" t="s">
        <v>20</v>
      </c>
      <c r="J86" s="29"/>
      <c r="K86" s="8" t="str">
        <f t="shared" si="24"/>
        <v/>
      </c>
      <c r="L86" s="8" t="str">
        <f t="shared" si="25"/>
        <v/>
      </c>
      <c r="M86" s="8">
        <v>3.41</v>
      </c>
      <c r="N86" s="8">
        <f>1.579 + 1.7 + 0.824</f>
        <v>4.1029999999999998</v>
      </c>
      <c r="O86" s="8">
        <v>6.6829999999999998</v>
      </c>
      <c r="P86" s="8">
        <f>0.797 + 2.18 + 2.737 + 2.157 + 1.214</f>
        <v>9.0850000000000009</v>
      </c>
      <c r="Q86" s="8"/>
      <c r="R86" s="8"/>
      <c r="S86" s="8"/>
      <c r="T86" s="8"/>
      <c r="U86" s="8">
        <f>N86/M86</f>
        <v>1.2032258064516128</v>
      </c>
      <c r="V86" s="8">
        <f t="shared" si="30"/>
        <v>1.3594194224150833</v>
      </c>
      <c r="W86" s="8"/>
      <c r="X86" s="8"/>
      <c r="Y86" s="31">
        <f t="shared" si="26"/>
        <v>-0.1076584912030261</v>
      </c>
      <c r="Z86" s="31">
        <f t="shared" si="27"/>
        <v>-0.1076584912030261</v>
      </c>
      <c r="AA86" s="31" t="str">
        <f t="shared" si="28"/>
        <v/>
      </c>
    </row>
    <row r="87" spans="1:27" x14ac:dyDescent="0.25">
      <c r="A87" s="6" t="str">
        <f t="shared" si="22"/>
        <v>fragment</v>
      </c>
      <c r="B87" s="6" t="s">
        <v>65</v>
      </c>
      <c r="C87" s="6" t="str">
        <f t="shared" si="23"/>
        <v>FU31 562</v>
      </c>
      <c r="D87" s="6" t="s">
        <v>64</v>
      </c>
      <c r="E87" s="20">
        <v>562</v>
      </c>
      <c r="F87" s="6" t="s">
        <v>13</v>
      </c>
      <c r="G87" s="6" t="s">
        <v>72</v>
      </c>
      <c r="H87" s="6" t="s">
        <v>976</v>
      </c>
      <c r="I87" s="6" t="s">
        <v>20</v>
      </c>
      <c r="J87" s="29"/>
      <c r="K87" s="8" t="str">
        <f t="shared" si="24"/>
        <v/>
      </c>
      <c r="L87" s="8" t="str">
        <f t="shared" si="25"/>
        <v/>
      </c>
      <c r="M87" s="8">
        <v>1.637</v>
      </c>
      <c r="N87" s="8">
        <f>0.539 + 2.256 + 1.083</f>
        <v>3.8780000000000001</v>
      </c>
      <c r="O87" s="8">
        <v>1.732</v>
      </c>
      <c r="P87" s="8">
        <f>0.745 + 1.121 + 0.671</f>
        <v>2.5369999999999999</v>
      </c>
      <c r="Q87" s="8"/>
      <c r="R87" s="8"/>
      <c r="S87" s="8">
        <v>2.665</v>
      </c>
      <c r="T87" s="8">
        <f>0.533 + 1.362 + 1.456 + 1.706 + 0.671</f>
        <v>5.7280000000000006</v>
      </c>
      <c r="U87" s="8">
        <f>N87/M87</f>
        <v>2.3689676237018937</v>
      </c>
      <c r="V87" s="8">
        <f t="shared" si="30"/>
        <v>1.4647806004618937</v>
      </c>
      <c r="W87" s="8"/>
      <c r="X87" s="8">
        <f>T87/S87</f>
        <v>2.1493433395872423</v>
      </c>
      <c r="Y87" s="31">
        <f t="shared" si="26"/>
        <v>-0.29980439450839963</v>
      </c>
      <c r="Z87" s="31">
        <f t="shared" si="27"/>
        <v>-0.29980439450839963</v>
      </c>
      <c r="AA87" s="31" t="str">
        <f t="shared" si="28"/>
        <v/>
      </c>
    </row>
    <row r="88" spans="1:27" x14ac:dyDescent="0.25">
      <c r="A88" s="6" t="str">
        <f t="shared" si="22"/>
        <v>complete</v>
      </c>
      <c r="B88" s="6" t="s">
        <v>65</v>
      </c>
      <c r="C88" s="6" t="str">
        <f t="shared" si="23"/>
        <v>FU31 563</v>
      </c>
      <c r="D88" s="6" t="s">
        <v>64</v>
      </c>
      <c r="E88" s="20">
        <v>563</v>
      </c>
      <c r="G88" s="6" t="s">
        <v>92</v>
      </c>
      <c r="H88" s="6" t="s">
        <v>974</v>
      </c>
      <c r="I88" s="6" t="s">
        <v>20</v>
      </c>
      <c r="J88" s="29">
        <v>10.969200000000001</v>
      </c>
      <c r="K88" s="8">
        <f t="shared" si="24"/>
        <v>1.0401749549899608</v>
      </c>
      <c r="L88" s="8">
        <f t="shared" si="25"/>
        <v>7.0002615314537273</v>
      </c>
      <c r="M88" s="8"/>
      <c r="N88" s="8"/>
      <c r="O88" s="8">
        <v>2.4319999999999999</v>
      </c>
      <c r="P88" s="8">
        <f>1.289+1.62</f>
        <v>2.9089999999999998</v>
      </c>
      <c r="Q88" s="8"/>
      <c r="R88" s="8"/>
      <c r="S88" s="8"/>
      <c r="T88" s="8"/>
      <c r="U88" s="8"/>
      <c r="V88" s="8">
        <f t="shared" si="30"/>
        <v>1.1961348684210527</v>
      </c>
      <c r="W88" s="8"/>
      <c r="X88" s="8"/>
      <c r="Y88" s="31">
        <f t="shared" si="26"/>
        <v>-7.7780150646361859E-2</v>
      </c>
      <c r="Z88" s="31" t="str">
        <f t="shared" si="27"/>
        <v/>
      </c>
      <c r="AA88" s="31">
        <f t="shared" si="28"/>
        <v>-7.7780150646361859E-2</v>
      </c>
    </row>
    <row r="89" spans="1:27" x14ac:dyDescent="0.25">
      <c r="A89" s="6" t="str">
        <f t="shared" si="22"/>
        <v>complete</v>
      </c>
      <c r="B89" s="6" t="s">
        <v>94</v>
      </c>
      <c r="C89" s="6" t="str">
        <f t="shared" si="23"/>
        <v>FU43 562</v>
      </c>
      <c r="D89" s="6" t="s">
        <v>93</v>
      </c>
      <c r="E89" s="20">
        <v>562</v>
      </c>
      <c r="F89" s="6" t="s">
        <v>13</v>
      </c>
      <c r="G89" s="6" t="s">
        <v>95</v>
      </c>
      <c r="H89" s="6" t="s">
        <v>976</v>
      </c>
      <c r="I89" s="6" t="s">
        <v>5</v>
      </c>
      <c r="J89" s="29">
        <v>18.124890000000001</v>
      </c>
      <c r="K89" s="8">
        <f t="shared" si="24"/>
        <v>1.2582753795167982</v>
      </c>
      <c r="L89" s="8">
        <f t="shared" si="25"/>
        <v>7.5024563177448966</v>
      </c>
      <c r="M89" s="8"/>
      <c r="N89" s="8"/>
      <c r="O89" s="8">
        <v>1.1639999999999999</v>
      </c>
      <c r="P89" s="8">
        <f>0.543+0.912+0.808+0.678+0.149</f>
        <v>3.09</v>
      </c>
      <c r="Q89" s="8"/>
      <c r="R89" s="8"/>
      <c r="S89" s="8">
        <v>1.018</v>
      </c>
      <c r="T89" s="8">
        <f>0.869+0.161+0.509+0.856</f>
        <v>2.395</v>
      </c>
      <c r="U89" s="8"/>
      <c r="V89" s="8">
        <f t="shared" si="30"/>
        <v>2.6546391752577319</v>
      </c>
      <c r="W89" s="8"/>
      <c r="X89" s="8">
        <f t="shared" ref="X89:X96" si="31">T89/S89</f>
        <v>2.3526522593320234</v>
      </c>
      <c r="Y89" s="31">
        <f t="shared" si="26"/>
        <v>-0.39857287329650659</v>
      </c>
      <c r="Z89" s="31" t="str">
        <f t="shared" si="27"/>
        <v/>
      </c>
      <c r="AA89" s="31">
        <f t="shared" si="28"/>
        <v>-0.39857287329650659</v>
      </c>
    </row>
    <row r="90" spans="1:27" x14ac:dyDescent="0.25">
      <c r="A90" s="6" t="str">
        <f t="shared" si="22"/>
        <v>complete</v>
      </c>
      <c r="B90" s="6" t="s">
        <v>94</v>
      </c>
      <c r="C90" s="6" t="str">
        <f t="shared" si="23"/>
        <v>FU43 562</v>
      </c>
      <c r="D90" s="6" t="s">
        <v>93</v>
      </c>
      <c r="E90" s="20">
        <v>562</v>
      </c>
      <c r="F90" s="6" t="s">
        <v>13</v>
      </c>
      <c r="G90" s="6" t="s">
        <v>96</v>
      </c>
      <c r="H90" s="6" t="s">
        <v>976</v>
      </c>
      <c r="I90" s="6" t="s">
        <v>5</v>
      </c>
      <c r="J90" s="29">
        <v>23.912980000000001</v>
      </c>
      <c r="K90" s="8">
        <f t="shared" si="24"/>
        <v>1.3786337006206779</v>
      </c>
      <c r="L90" s="8">
        <f t="shared" si="25"/>
        <v>7.7795915937364803</v>
      </c>
      <c r="M90" s="8"/>
      <c r="N90" s="8"/>
      <c r="O90" s="8">
        <v>2.2040000000000002</v>
      </c>
      <c r="P90" s="8">
        <f>0.665+1.049+0.665</f>
        <v>2.379</v>
      </c>
      <c r="Q90" s="8">
        <v>0.255</v>
      </c>
      <c r="R90" s="8">
        <f>0.306+0.261+0.26</f>
        <v>0.82699999999999996</v>
      </c>
      <c r="S90" s="8">
        <v>1.111</v>
      </c>
      <c r="T90" s="8">
        <f>0.562+0.826+0.777</f>
        <v>2.165</v>
      </c>
      <c r="U90" s="8"/>
      <c r="V90" s="8">
        <f t="shared" si="30"/>
        <v>1.0794010889292196</v>
      </c>
      <c r="W90" s="8">
        <f>R90/Q90</f>
        <v>3.2431372549019604</v>
      </c>
      <c r="X90" s="8">
        <f t="shared" si="31"/>
        <v>1.9486948694869488</v>
      </c>
      <c r="Y90" s="31">
        <f t="shared" si="26"/>
        <v>-0.32023169680897967</v>
      </c>
      <c r="Z90" s="31" t="str">
        <f t="shared" si="27"/>
        <v/>
      </c>
      <c r="AA90" s="31">
        <f t="shared" si="28"/>
        <v>-0.32023169680897967</v>
      </c>
    </row>
    <row r="91" spans="1:27" x14ac:dyDescent="0.25">
      <c r="A91" s="6" t="str">
        <f t="shared" si="22"/>
        <v>complete</v>
      </c>
      <c r="B91" s="6" t="s">
        <v>94</v>
      </c>
      <c r="C91" s="6" t="str">
        <f t="shared" si="23"/>
        <v>FU43 562</v>
      </c>
      <c r="D91" s="6" t="s">
        <v>93</v>
      </c>
      <c r="E91" s="20">
        <v>562</v>
      </c>
      <c r="F91" s="6" t="s">
        <v>13</v>
      </c>
      <c r="G91" s="6" t="s">
        <v>97</v>
      </c>
      <c r="H91" s="6" t="s">
        <v>976</v>
      </c>
      <c r="I91" s="6" t="s">
        <v>5</v>
      </c>
      <c r="J91" s="29">
        <v>25.525939999999999</v>
      </c>
      <c r="K91" s="8">
        <f t="shared" si="24"/>
        <v>1.4069817440712369</v>
      </c>
      <c r="L91" s="8">
        <f t="shared" si="25"/>
        <v>7.8448653760012848</v>
      </c>
      <c r="M91" s="8"/>
      <c r="N91" s="8"/>
      <c r="O91" s="8">
        <v>2.0219999999999998</v>
      </c>
      <c r="P91" s="8">
        <f>0.301+1.25+0.891+0.741+0.635</f>
        <v>3.8180000000000005</v>
      </c>
      <c r="Q91" s="8"/>
      <c r="R91" s="8"/>
      <c r="S91" s="8">
        <v>0.874</v>
      </c>
      <c r="T91" s="8">
        <f>0.741+0.753</f>
        <v>1.494</v>
      </c>
      <c r="U91" s="8"/>
      <c r="V91" s="8">
        <f t="shared" si="30"/>
        <v>1.8882294757665683</v>
      </c>
      <c r="W91" s="8"/>
      <c r="X91" s="8">
        <f t="shared" si="31"/>
        <v>1.7093821510297482</v>
      </c>
      <c r="Y91" s="31">
        <f t="shared" si="26"/>
        <v>-0.25498428245531146</v>
      </c>
      <c r="Z91" s="31" t="str">
        <f t="shared" si="27"/>
        <v/>
      </c>
      <c r="AA91" s="31">
        <f t="shared" si="28"/>
        <v>-0.25498428245531146</v>
      </c>
    </row>
    <row r="92" spans="1:27" x14ac:dyDescent="0.25">
      <c r="A92" s="6" t="str">
        <f t="shared" si="22"/>
        <v>complete</v>
      </c>
      <c r="B92" s="6" t="s">
        <v>94</v>
      </c>
      <c r="C92" s="6" t="str">
        <f t="shared" si="23"/>
        <v>FU43 562</v>
      </c>
      <c r="D92" s="6" t="s">
        <v>93</v>
      </c>
      <c r="E92" s="20">
        <v>562</v>
      </c>
      <c r="F92" s="6" t="s">
        <v>13</v>
      </c>
      <c r="G92" s="6" t="s">
        <v>98</v>
      </c>
      <c r="H92" s="6" t="s">
        <v>976</v>
      </c>
      <c r="I92" s="6" t="s">
        <v>5</v>
      </c>
      <c r="J92" s="29">
        <v>8.9969999999999999</v>
      </c>
      <c r="K92" s="8">
        <f t="shared" si="24"/>
        <v>0.95409772047918961</v>
      </c>
      <c r="L92" s="8">
        <f t="shared" si="25"/>
        <v>6.8020613744230731</v>
      </c>
      <c r="M92" s="8"/>
      <c r="N92" s="8"/>
      <c r="O92" s="8">
        <v>0.76800000000000002</v>
      </c>
      <c r="P92" s="8">
        <f>0.581+0.6+0.523</f>
        <v>1.7040000000000002</v>
      </c>
      <c r="Q92" s="8"/>
      <c r="R92" s="8"/>
      <c r="S92" s="8">
        <v>0.438</v>
      </c>
      <c r="T92" s="8">
        <f>0.454+0.435+0.379</f>
        <v>1.268</v>
      </c>
      <c r="U92" s="8"/>
      <c r="V92" s="8">
        <f t="shared" si="30"/>
        <v>2.21875</v>
      </c>
      <c r="W92" s="8"/>
      <c r="X92" s="8">
        <f t="shared" si="31"/>
        <v>2.8949771689497719</v>
      </c>
      <c r="Y92" s="31">
        <f t="shared" si="26"/>
        <v>-0.40770755786982332</v>
      </c>
      <c r="Z92" s="31" t="str">
        <f t="shared" si="27"/>
        <v/>
      </c>
      <c r="AA92" s="31">
        <f t="shared" si="28"/>
        <v>-0.40770755786982332</v>
      </c>
    </row>
    <row r="93" spans="1:27" x14ac:dyDescent="0.25">
      <c r="A93" s="6" t="str">
        <f t="shared" si="22"/>
        <v>fragment</v>
      </c>
      <c r="B93" s="6" t="s">
        <v>94</v>
      </c>
      <c r="C93" s="6" t="str">
        <f t="shared" si="23"/>
        <v>FU43 562</v>
      </c>
      <c r="D93" s="6" t="s">
        <v>93</v>
      </c>
      <c r="E93" s="20">
        <v>562</v>
      </c>
      <c r="F93" s="6" t="s">
        <v>13</v>
      </c>
      <c r="G93" s="6" t="s">
        <v>957</v>
      </c>
      <c r="H93" s="6" t="s">
        <v>976</v>
      </c>
      <c r="I93" s="6" t="s">
        <v>5</v>
      </c>
      <c r="J93" s="29"/>
      <c r="K93" s="8" t="str">
        <f t="shared" si="24"/>
        <v/>
      </c>
      <c r="L93" s="8" t="str">
        <f t="shared" si="25"/>
        <v/>
      </c>
      <c r="M93" s="8"/>
      <c r="N93" s="8"/>
      <c r="O93" s="8">
        <v>1.728</v>
      </c>
      <c r="P93" s="8">
        <f>0.778+1.078+0.223+1.32+0.135+0.492</f>
        <v>4.0259999999999998</v>
      </c>
      <c r="Q93" s="8"/>
      <c r="R93" s="8"/>
      <c r="S93" s="8">
        <v>1.306</v>
      </c>
      <c r="T93" s="8">
        <f>1.035+1.204</f>
        <v>2.2389999999999999</v>
      </c>
      <c r="U93" s="8"/>
      <c r="V93" s="8">
        <f t="shared" si="30"/>
        <v>2.3298611111111112</v>
      </c>
      <c r="W93" s="8"/>
      <c r="X93" s="8">
        <f t="shared" si="31"/>
        <v>1.7143950995405817</v>
      </c>
      <c r="Y93" s="31">
        <f t="shared" si="26"/>
        <v>-0.30580866543588209</v>
      </c>
      <c r="Z93" s="31">
        <f t="shared" si="27"/>
        <v>-0.30580866543588209</v>
      </c>
      <c r="AA93" s="31" t="str">
        <f t="shared" si="28"/>
        <v/>
      </c>
    </row>
    <row r="94" spans="1:27" x14ac:dyDescent="0.25">
      <c r="A94" s="6" t="str">
        <f t="shared" si="22"/>
        <v>fragment</v>
      </c>
      <c r="B94" s="6" t="s">
        <v>94</v>
      </c>
      <c r="C94" s="6" t="str">
        <f t="shared" si="23"/>
        <v>FU43 562</v>
      </c>
      <c r="D94" s="6" t="s">
        <v>93</v>
      </c>
      <c r="E94" s="20">
        <v>562</v>
      </c>
      <c r="F94" s="6" t="s">
        <v>13</v>
      </c>
      <c r="G94" s="6" t="s">
        <v>956</v>
      </c>
      <c r="H94" s="6" t="s">
        <v>976</v>
      </c>
      <c r="I94" s="6" t="s">
        <v>5</v>
      </c>
      <c r="J94" s="29"/>
      <c r="K94" s="8" t="str">
        <f t="shared" si="24"/>
        <v/>
      </c>
      <c r="L94" s="8" t="str">
        <f t="shared" si="25"/>
        <v/>
      </c>
      <c r="M94" s="8"/>
      <c r="N94" s="8"/>
      <c r="O94" s="8">
        <v>1.0409999999999999</v>
      </c>
      <c r="P94" s="8">
        <f>0.427+0.727+0.396+0.593+0.736</f>
        <v>2.8789999999999996</v>
      </c>
      <c r="Q94" s="8"/>
      <c r="R94" s="8"/>
      <c r="S94" s="8">
        <v>1.135</v>
      </c>
      <c r="T94" s="8">
        <f>0.768+0.79+0.642+0.505+0.248+0.633</f>
        <v>3.5860000000000003</v>
      </c>
      <c r="U94" s="8"/>
      <c r="V94" s="8">
        <f t="shared" si="30"/>
        <v>2.7656099903938518</v>
      </c>
      <c r="W94" s="8"/>
      <c r="X94" s="8">
        <f t="shared" si="31"/>
        <v>3.1594713656387667</v>
      </c>
      <c r="Y94" s="31">
        <f t="shared" si="26"/>
        <v>-0.47166432226431448</v>
      </c>
      <c r="Z94" s="31">
        <f t="shared" si="27"/>
        <v>-0.47166432226431448</v>
      </c>
      <c r="AA94" s="31" t="str">
        <f t="shared" si="28"/>
        <v/>
      </c>
    </row>
    <row r="95" spans="1:27" x14ac:dyDescent="0.25">
      <c r="A95" s="6" t="str">
        <f t="shared" si="22"/>
        <v>complete</v>
      </c>
      <c r="B95" s="6" t="s">
        <v>94</v>
      </c>
      <c r="C95" s="6" t="str">
        <f t="shared" si="23"/>
        <v>FU43 562</v>
      </c>
      <c r="D95" s="6" t="s">
        <v>93</v>
      </c>
      <c r="E95" s="20">
        <v>562</v>
      </c>
      <c r="F95" s="6" t="s">
        <v>13</v>
      </c>
      <c r="G95" s="6" t="s">
        <v>99</v>
      </c>
      <c r="H95" s="6" t="s">
        <v>976</v>
      </c>
      <c r="I95" s="6" t="s">
        <v>5</v>
      </c>
      <c r="J95" s="29">
        <v>5.3423999999999996</v>
      </c>
      <c r="K95" s="8">
        <f t="shared" si="24"/>
        <v>0.72773640171029552</v>
      </c>
      <c r="L95" s="8">
        <f t="shared" si="25"/>
        <v>6.2808451761953448</v>
      </c>
      <c r="M95" s="8"/>
      <c r="N95" s="8"/>
      <c r="O95" s="8">
        <v>0.85099999999999998</v>
      </c>
      <c r="P95" s="8">
        <f>0.519+0.501+0.51+0.389</f>
        <v>1.919</v>
      </c>
      <c r="Q95" s="8"/>
      <c r="R95" s="8"/>
      <c r="S95" s="8">
        <v>0.92100000000000004</v>
      </c>
      <c r="T95" s="8">
        <f>0.487+0.619+0.481+0.233+0.552</f>
        <v>2.3719999999999999</v>
      </c>
      <c r="U95" s="8"/>
      <c r="V95" s="8">
        <f t="shared" si="30"/>
        <v>2.2549941245593419</v>
      </c>
      <c r="W95" s="8"/>
      <c r="X95" s="8">
        <f t="shared" si="31"/>
        <v>2.5754614549402821</v>
      </c>
      <c r="Y95" s="31">
        <f t="shared" si="26"/>
        <v>-0.38295809706106798</v>
      </c>
      <c r="Z95" s="31" t="str">
        <f t="shared" si="27"/>
        <v/>
      </c>
      <c r="AA95" s="31">
        <f t="shared" si="28"/>
        <v>-0.38295809706106798</v>
      </c>
    </row>
    <row r="96" spans="1:27" x14ac:dyDescent="0.25">
      <c r="A96" s="6" t="str">
        <f t="shared" si="22"/>
        <v>complete</v>
      </c>
      <c r="B96" s="6" t="s">
        <v>94</v>
      </c>
      <c r="C96" s="6" t="str">
        <f t="shared" si="23"/>
        <v>FU43 562</v>
      </c>
      <c r="D96" s="6" t="s">
        <v>93</v>
      </c>
      <c r="E96" s="20">
        <v>562</v>
      </c>
      <c r="F96" s="6" t="s">
        <v>13</v>
      </c>
      <c r="G96" s="6" t="s">
        <v>100</v>
      </c>
      <c r="H96" s="6" t="s">
        <v>976</v>
      </c>
      <c r="I96" s="6" t="s">
        <v>5</v>
      </c>
      <c r="J96" s="29">
        <v>7.5990000000000002</v>
      </c>
      <c r="K96" s="8">
        <f t="shared" si="24"/>
        <v>0.8807564445102104</v>
      </c>
      <c r="L96" s="8">
        <f t="shared" si="25"/>
        <v>6.6331868456757395</v>
      </c>
      <c r="M96" s="8"/>
      <c r="N96" s="8"/>
      <c r="O96" s="8">
        <v>0.39500000000000002</v>
      </c>
      <c r="P96" s="8">
        <f>0.4+0.328+0.538</f>
        <v>1.266</v>
      </c>
      <c r="Q96" s="8"/>
      <c r="R96" s="8"/>
      <c r="S96" s="8">
        <v>0.46200000000000002</v>
      </c>
      <c r="T96" s="8">
        <f>0.435+0.428+0.396</f>
        <v>1.2589999999999999</v>
      </c>
      <c r="U96" s="8"/>
      <c r="V96" s="8">
        <f t="shared" si="30"/>
        <v>3.2050632911392403</v>
      </c>
      <c r="W96" s="8"/>
      <c r="X96" s="8">
        <f t="shared" si="31"/>
        <v>2.7251082251082246</v>
      </c>
      <c r="Y96" s="31">
        <f t="shared" si="26"/>
        <v>-0.47203725882719832</v>
      </c>
      <c r="Z96" s="31" t="str">
        <f t="shared" si="27"/>
        <v/>
      </c>
      <c r="AA96" s="31">
        <f t="shared" si="28"/>
        <v>-0.47203725882719832</v>
      </c>
    </row>
    <row r="97" spans="1:27" x14ac:dyDescent="0.25">
      <c r="A97" s="6" t="str">
        <f t="shared" si="22"/>
        <v>fragment</v>
      </c>
      <c r="B97" s="6" t="s">
        <v>94</v>
      </c>
      <c r="C97" s="6" t="str">
        <f t="shared" si="23"/>
        <v>FU43 562</v>
      </c>
      <c r="D97" s="6" t="s">
        <v>93</v>
      </c>
      <c r="E97" s="20">
        <v>562</v>
      </c>
      <c r="F97" s="6" t="s">
        <v>13</v>
      </c>
      <c r="G97" s="6" t="s">
        <v>101</v>
      </c>
      <c r="H97" s="6" t="s">
        <v>976</v>
      </c>
      <c r="I97" s="6" t="s">
        <v>5</v>
      </c>
      <c r="J97" s="29"/>
      <c r="K97" s="8" t="str">
        <f t="shared" si="24"/>
        <v/>
      </c>
      <c r="L97" s="8" t="str">
        <f t="shared" si="25"/>
        <v/>
      </c>
      <c r="M97" s="8"/>
      <c r="N97" s="8"/>
      <c r="O97" s="8"/>
      <c r="P97" s="8"/>
      <c r="Q97" s="8">
        <v>0.73899999999999999</v>
      </c>
      <c r="R97" s="8">
        <f>0.628+0.263+0.67</f>
        <v>1.5609999999999999</v>
      </c>
      <c r="S97" s="8"/>
      <c r="T97" s="8"/>
      <c r="U97" s="8"/>
      <c r="V97" s="8"/>
      <c r="W97" s="8">
        <f>R97/Q97</f>
        <v>2.1123139377537212</v>
      </c>
      <c r="X97" s="8"/>
      <c r="Y97" s="31">
        <f t="shared" si="26"/>
        <v>-0.32475846466759178</v>
      </c>
      <c r="Z97" s="31">
        <f t="shared" si="27"/>
        <v>-0.32475846466759178</v>
      </c>
      <c r="AA97" s="31" t="str">
        <f t="shared" si="28"/>
        <v/>
      </c>
    </row>
    <row r="98" spans="1:27" x14ac:dyDescent="0.25">
      <c r="A98" s="6" t="str">
        <f t="shared" si="22"/>
        <v>complete</v>
      </c>
      <c r="B98" s="6" t="s">
        <v>94</v>
      </c>
      <c r="C98" s="6" t="str">
        <f t="shared" si="23"/>
        <v>FU43 562</v>
      </c>
      <c r="D98" s="6" t="s">
        <v>93</v>
      </c>
      <c r="E98" s="20">
        <v>562</v>
      </c>
      <c r="F98" s="6" t="s">
        <v>13</v>
      </c>
      <c r="G98" s="6" t="s">
        <v>102</v>
      </c>
      <c r="H98" s="6" t="s">
        <v>976</v>
      </c>
      <c r="I98" s="6" t="s">
        <v>5</v>
      </c>
      <c r="J98" s="29">
        <f>13.731*2</f>
        <v>27.462</v>
      </c>
      <c r="K98" s="8">
        <f t="shared" si="24"/>
        <v>1.4387321628109431</v>
      </c>
      <c r="L98" s="8">
        <f t="shared" si="25"/>
        <v>7.9179734168876514</v>
      </c>
      <c r="M98" s="8"/>
      <c r="N98" s="8"/>
      <c r="O98" s="8">
        <v>1.38</v>
      </c>
      <c r="P98" s="8">
        <f>0.564+0.683+0.814+0.491</f>
        <v>2.552</v>
      </c>
      <c r="Q98" s="8"/>
      <c r="R98" s="8"/>
      <c r="S98" s="8">
        <v>1.1859999999999999</v>
      </c>
      <c r="T98" s="8">
        <f>0.872+0.187+0.865+0.613</f>
        <v>2.5369999999999999</v>
      </c>
      <c r="U98" s="8"/>
      <c r="V98" s="8">
        <f t="shared" ref="V98:V142" si="32">P98/O98</f>
        <v>1.8492753623188407</v>
      </c>
      <c r="W98" s="8"/>
      <c r="X98" s="8">
        <f>T98/S98</f>
        <v>2.1391231028667792</v>
      </c>
      <c r="Y98" s="31">
        <f t="shared" si="26"/>
        <v>-0.29976854479475024</v>
      </c>
      <c r="Z98" s="31" t="str">
        <f t="shared" si="27"/>
        <v/>
      </c>
      <c r="AA98" s="31">
        <f t="shared" si="28"/>
        <v>-0.29976854479475024</v>
      </c>
    </row>
    <row r="99" spans="1:27" x14ac:dyDescent="0.25">
      <c r="A99" s="6" t="str">
        <f t="shared" si="22"/>
        <v>fragment</v>
      </c>
      <c r="B99" s="6" t="s">
        <v>94</v>
      </c>
      <c r="C99" s="6" t="str">
        <f t="shared" si="23"/>
        <v>FU43 562</v>
      </c>
      <c r="D99" s="6" t="s">
        <v>93</v>
      </c>
      <c r="E99" s="20">
        <v>562</v>
      </c>
      <c r="F99" s="6" t="s">
        <v>13</v>
      </c>
      <c r="G99" s="6" t="s">
        <v>103</v>
      </c>
      <c r="H99" s="6" t="s">
        <v>976</v>
      </c>
      <c r="I99" s="6" t="s">
        <v>5</v>
      </c>
      <c r="J99" s="29"/>
      <c r="K99" s="8" t="str">
        <f t="shared" si="24"/>
        <v/>
      </c>
      <c r="L99" s="8" t="str">
        <f t="shared" si="25"/>
        <v/>
      </c>
      <c r="M99" s="8">
        <v>1.335</v>
      </c>
      <c r="N99" s="8">
        <f>0.518+0.878+0.618</f>
        <v>2.0139999999999998</v>
      </c>
      <c r="O99" s="8">
        <v>1.177</v>
      </c>
      <c r="P99" s="8">
        <f>0.781+0.55+0.55</f>
        <v>1.881</v>
      </c>
      <c r="Q99" s="8"/>
      <c r="R99" s="8"/>
      <c r="S99" s="8"/>
      <c r="T99" s="8"/>
      <c r="U99" s="8">
        <f>N99/M99</f>
        <v>1.5086142322097378</v>
      </c>
      <c r="V99" s="8">
        <f t="shared" si="32"/>
        <v>1.5981308411214952</v>
      </c>
      <c r="W99" s="8"/>
      <c r="X99" s="8"/>
      <c r="Y99" s="31">
        <f t="shared" si="26"/>
        <v>-0.19127562264160569</v>
      </c>
      <c r="Z99" s="31">
        <f t="shared" si="27"/>
        <v>-0.19127562264160569</v>
      </c>
      <c r="AA99" s="31" t="str">
        <f t="shared" si="28"/>
        <v/>
      </c>
    </row>
    <row r="100" spans="1:27" x14ac:dyDescent="0.25">
      <c r="A100" s="6" t="str">
        <f t="shared" si="22"/>
        <v>complete</v>
      </c>
      <c r="B100" s="6" t="s">
        <v>94</v>
      </c>
      <c r="C100" s="6" t="str">
        <f t="shared" si="23"/>
        <v>FU43 562</v>
      </c>
      <c r="D100" s="6" t="s">
        <v>93</v>
      </c>
      <c r="E100" s="20">
        <v>562</v>
      </c>
      <c r="F100" s="6" t="s">
        <v>13</v>
      </c>
      <c r="G100" s="6" t="s">
        <v>104</v>
      </c>
      <c r="H100" s="6" t="s">
        <v>976</v>
      </c>
      <c r="I100" s="6" t="s">
        <v>5</v>
      </c>
      <c r="J100" s="29">
        <v>16.8</v>
      </c>
      <c r="K100" s="8">
        <f t="shared" si="24"/>
        <v>1.2253092817258628</v>
      </c>
      <c r="L100" s="8">
        <f t="shared" si="25"/>
        <v>7.4265490723973047</v>
      </c>
      <c r="M100" s="8"/>
      <c r="N100" s="8"/>
      <c r="O100" s="8">
        <v>0.57899999999999996</v>
      </c>
      <c r="P100" s="8">
        <f>0.464+0.588+0.525+0.332</f>
        <v>1.909</v>
      </c>
      <c r="Q100" s="8"/>
      <c r="R100" s="8"/>
      <c r="S100" s="8">
        <v>0.48</v>
      </c>
      <c r="T100" s="8">
        <f>0.565+0.52+0.438</f>
        <v>1.5229999999999999</v>
      </c>
      <c r="U100" s="8"/>
      <c r="V100" s="8">
        <f t="shared" si="32"/>
        <v>3.2970639032815203</v>
      </c>
      <c r="W100" s="8"/>
      <c r="X100" s="8">
        <f t="shared" ref="X100:X107" si="33">T100/S100</f>
        <v>3.1729166666666666</v>
      </c>
      <c r="Y100" s="31">
        <f t="shared" si="26"/>
        <v>-0.5098729807733503</v>
      </c>
      <c r="Z100" s="31" t="str">
        <f t="shared" si="27"/>
        <v/>
      </c>
      <c r="AA100" s="31">
        <f t="shared" si="28"/>
        <v>-0.5098729807733503</v>
      </c>
    </row>
    <row r="101" spans="1:27" x14ac:dyDescent="0.25">
      <c r="A101" s="6" t="str">
        <f t="shared" si="22"/>
        <v>fragment</v>
      </c>
      <c r="B101" s="6" t="s">
        <v>94</v>
      </c>
      <c r="C101" s="6" t="str">
        <f t="shared" si="23"/>
        <v>FU43 562</v>
      </c>
      <c r="D101" s="6" t="s">
        <v>93</v>
      </c>
      <c r="E101" s="20">
        <v>562</v>
      </c>
      <c r="F101" s="6" t="s">
        <v>13</v>
      </c>
      <c r="G101" s="6" t="s">
        <v>105</v>
      </c>
      <c r="H101" s="6" t="s">
        <v>976</v>
      </c>
      <c r="I101" s="6" t="s">
        <v>5</v>
      </c>
      <c r="J101" s="29"/>
      <c r="K101" s="8" t="str">
        <f t="shared" si="24"/>
        <v/>
      </c>
      <c r="L101" s="8" t="str">
        <f t="shared" si="25"/>
        <v/>
      </c>
      <c r="M101" s="8"/>
      <c r="N101" s="8"/>
      <c r="O101" s="8">
        <v>1.823</v>
      </c>
      <c r="P101" s="8">
        <f>0.328+1.423+0.685+0.988+0.41</f>
        <v>3.8340000000000001</v>
      </c>
      <c r="Q101" s="8"/>
      <c r="R101" s="8"/>
      <c r="S101" s="8">
        <v>0.88400000000000001</v>
      </c>
      <c r="T101" s="8">
        <f>0.799+1.033+0.463</f>
        <v>2.2949999999999999</v>
      </c>
      <c r="U101" s="8"/>
      <c r="V101" s="8">
        <f t="shared" si="32"/>
        <v>2.1031267142073506</v>
      </c>
      <c r="W101" s="8"/>
      <c r="X101" s="8">
        <f t="shared" si="33"/>
        <v>2.5961538461538463</v>
      </c>
      <c r="Y101" s="31">
        <f t="shared" si="26"/>
        <v>-0.37100137874381134</v>
      </c>
      <c r="Z101" s="31">
        <f t="shared" si="27"/>
        <v>-0.37100137874381134</v>
      </c>
      <c r="AA101" s="31" t="str">
        <f t="shared" si="28"/>
        <v/>
      </c>
    </row>
    <row r="102" spans="1:27" x14ac:dyDescent="0.25">
      <c r="A102" s="6" t="str">
        <f t="shared" si="22"/>
        <v>fragment</v>
      </c>
      <c r="B102" s="6" t="s">
        <v>94</v>
      </c>
      <c r="C102" s="6" t="str">
        <f t="shared" si="23"/>
        <v>FU43 562</v>
      </c>
      <c r="D102" s="6" t="s">
        <v>93</v>
      </c>
      <c r="E102" s="20">
        <v>562</v>
      </c>
      <c r="F102" s="6" t="s">
        <v>13</v>
      </c>
      <c r="G102" s="6" t="s">
        <v>106</v>
      </c>
      <c r="H102" s="6" t="s">
        <v>976</v>
      </c>
      <c r="I102" s="6" t="s">
        <v>5</v>
      </c>
      <c r="J102" s="29"/>
      <c r="K102" s="8" t="str">
        <f t="shared" si="24"/>
        <v/>
      </c>
      <c r="L102" s="8" t="str">
        <f t="shared" si="25"/>
        <v/>
      </c>
      <c r="M102" s="8"/>
      <c r="N102" s="8"/>
      <c r="O102" s="8">
        <v>1.984</v>
      </c>
      <c r="P102" s="8">
        <f>0.946+1.036+0.329+0.78</f>
        <v>3.0910000000000002</v>
      </c>
      <c r="Q102" s="8">
        <v>0.28899999999999998</v>
      </c>
      <c r="R102" s="8">
        <f>0.319+0.223</f>
        <v>0.54200000000000004</v>
      </c>
      <c r="S102" s="8">
        <v>0.91100000000000003</v>
      </c>
      <c r="T102" s="8">
        <f>0.81+0.663</f>
        <v>1.4730000000000001</v>
      </c>
      <c r="U102" s="8"/>
      <c r="V102" s="8">
        <f t="shared" si="32"/>
        <v>1.5579637096774195</v>
      </c>
      <c r="W102" s="8">
        <f>R102/Q102</f>
        <v>1.8754325259515574</v>
      </c>
      <c r="X102" s="8">
        <f t="shared" si="33"/>
        <v>1.6169045005488474</v>
      </c>
      <c r="Y102" s="31">
        <f t="shared" si="26"/>
        <v>-0.22619598561161772</v>
      </c>
      <c r="Z102" s="31">
        <f t="shared" si="27"/>
        <v>-0.22619598561161772</v>
      </c>
      <c r="AA102" s="31" t="str">
        <f t="shared" si="28"/>
        <v/>
      </c>
    </row>
    <row r="103" spans="1:27" x14ac:dyDescent="0.25">
      <c r="A103" s="6" t="str">
        <f t="shared" si="22"/>
        <v>complete</v>
      </c>
      <c r="B103" s="6" t="s">
        <v>94</v>
      </c>
      <c r="C103" s="6" t="str">
        <f t="shared" si="23"/>
        <v>FU43 562</v>
      </c>
      <c r="D103" s="6" t="s">
        <v>93</v>
      </c>
      <c r="E103" s="20">
        <v>562</v>
      </c>
      <c r="F103" s="6" t="s">
        <v>13</v>
      </c>
      <c r="G103" s="6" t="s">
        <v>107</v>
      </c>
      <c r="H103" s="6" t="s">
        <v>976</v>
      </c>
      <c r="I103" s="6" t="s">
        <v>5</v>
      </c>
      <c r="J103" s="29">
        <v>8.3520000000000003</v>
      </c>
      <c r="K103" s="8">
        <f t="shared" si="24"/>
        <v>0.921790485658187</v>
      </c>
      <c r="L103" s="8">
        <f t="shared" si="25"/>
        <v>6.7276712171283739</v>
      </c>
      <c r="M103" s="8"/>
      <c r="N103" s="8"/>
      <c r="O103" s="8">
        <v>0.40400000000000003</v>
      </c>
      <c r="P103" s="8">
        <f>0.405+0.164+0.335+0.373+0.326+0.234</f>
        <v>1.8370000000000002</v>
      </c>
      <c r="Q103" s="8"/>
      <c r="R103" s="8"/>
      <c r="S103" s="8">
        <v>0.39300000000000002</v>
      </c>
      <c r="T103" s="8">
        <f>0.399+0.426+0.444+0.259</f>
        <v>1.528</v>
      </c>
      <c r="U103" s="8"/>
      <c r="V103" s="8">
        <f t="shared" si="32"/>
        <v>4.5470297029702973</v>
      </c>
      <c r="W103" s="8"/>
      <c r="X103" s="8">
        <f t="shared" si="33"/>
        <v>3.8880407124681935</v>
      </c>
      <c r="Y103" s="31">
        <f t="shared" si="26"/>
        <v>-0.62505871673937652</v>
      </c>
      <c r="Z103" s="31" t="str">
        <f t="shared" si="27"/>
        <v/>
      </c>
      <c r="AA103" s="31">
        <f t="shared" si="28"/>
        <v>-0.62505871673937652</v>
      </c>
    </row>
    <row r="104" spans="1:27" x14ac:dyDescent="0.25">
      <c r="A104" s="6" t="str">
        <f t="shared" si="22"/>
        <v>fragment</v>
      </c>
      <c r="B104" s="6" t="s">
        <v>94</v>
      </c>
      <c r="C104" s="6" t="str">
        <f t="shared" si="23"/>
        <v>FU43 562</v>
      </c>
      <c r="D104" s="6" t="s">
        <v>93</v>
      </c>
      <c r="E104" s="20">
        <v>562</v>
      </c>
      <c r="F104" s="6" t="s">
        <v>13</v>
      </c>
      <c r="G104" s="6" t="s">
        <v>108</v>
      </c>
      <c r="H104" s="6" t="s">
        <v>976</v>
      </c>
      <c r="I104" s="6" t="s">
        <v>5</v>
      </c>
      <c r="J104" s="29"/>
      <c r="K104" s="8" t="str">
        <f t="shared" si="24"/>
        <v/>
      </c>
      <c r="L104" s="8" t="str">
        <f t="shared" si="25"/>
        <v/>
      </c>
      <c r="M104" s="8"/>
      <c r="N104" s="8"/>
      <c r="O104" s="8">
        <v>0.498</v>
      </c>
      <c r="P104" s="8">
        <f>0.436+0.913+0.137</f>
        <v>1.486</v>
      </c>
      <c r="Q104" s="8"/>
      <c r="R104" s="8"/>
      <c r="S104" s="8">
        <v>1.2869999999999999</v>
      </c>
      <c r="T104" s="8">
        <f>0.424+1.189+0.397+0.436</f>
        <v>2.4459999999999997</v>
      </c>
      <c r="U104" s="8"/>
      <c r="V104" s="8">
        <f t="shared" si="32"/>
        <v>2.9839357429718874</v>
      </c>
      <c r="W104" s="8"/>
      <c r="X104" s="8">
        <f t="shared" si="33"/>
        <v>1.9005439005439004</v>
      </c>
      <c r="Y104" s="31">
        <f t="shared" si="26"/>
        <v>-0.38778830831981081</v>
      </c>
      <c r="Z104" s="31">
        <f t="shared" si="27"/>
        <v>-0.38778830831981081</v>
      </c>
      <c r="AA104" s="31" t="str">
        <f t="shared" si="28"/>
        <v/>
      </c>
    </row>
    <row r="105" spans="1:27" x14ac:dyDescent="0.25">
      <c r="A105" s="6" t="str">
        <f t="shared" si="22"/>
        <v>fragment</v>
      </c>
      <c r="B105" s="6" t="s">
        <v>94</v>
      </c>
      <c r="C105" s="6" t="str">
        <f t="shared" si="23"/>
        <v>FU43 562</v>
      </c>
      <c r="D105" s="6" t="s">
        <v>93</v>
      </c>
      <c r="E105" s="20">
        <v>562</v>
      </c>
      <c r="F105" s="6" t="s">
        <v>13</v>
      </c>
      <c r="G105" s="6" t="s">
        <v>109</v>
      </c>
      <c r="H105" s="6" t="s">
        <v>976</v>
      </c>
      <c r="I105" s="6" t="s">
        <v>5</v>
      </c>
      <c r="J105" s="29"/>
      <c r="K105" s="8" t="str">
        <f t="shared" si="24"/>
        <v/>
      </c>
      <c r="L105" s="8" t="str">
        <f t="shared" si="25"/>
        <v/>
      </c>
      <c r="M105" s="8"/>
      <c r="N105" s="8"/>
      <c r="O105" s="8">
        <v>1.52</v>
      </c>
      <c r="P105" s="8">
        <f>0.647+0.663+0.655</f>
        <v>1.9650000000000001</v>
      </c>
      <c r="Q105" s="8"/>
      <c r="R105" s="8"/>
      <c r="S105" s="8">
        <v>1.3520000000000001</v>
      </c>
      <c r="T105" s="8">
        <f>0.929+0.674+0.362</f>
        <v>1.9650000000000003</v>
      </c>
      <c r="U105" s="8"/>
      <c r="V105" s="8">
        <f t="shared" si="32"/>
        <v>1.2927631578947369</v>
      </c>
      <c r="W105" s="8"/>
      <c r="X105" s="8">
        <f t="shared" si="33"/>
        <v>1.4534023668639056</v>
      </c>
      <c r="Y105" s="31">
        <f t="shared" si="26"/>
        <v>-0.13769671506733741</v>
      </c>
      <c r="Z105" s="31">
        <f t="shared" si="27"/>
        <v>-0.13769671506733741</v>
      </c>
      <c r="AA105" s="31" t="str">
        <f t="shared" si="28"/>
        <v/>
      </c>
    </row>
    <row r="106" spans="1:27" x14ac:dyDescent="0.25">
      <c r="A106" s="6" t="str">
        <f t="shared" si="22"/>
        <v>complete</v>
      </c>
      <c r="B106" s="6" t="s">
        <v>94</v>
      </c>
      <c r="C106" s="6" t="str">
        <f t="shared" si="23"/>
        <v>FU43 562</v>
      </c>
      <c r="D106" s="6" t="s">
        <v>93</v>
      </c>
      <c r="E106" s="20">
        <v>562</v>
      </c>
      <c r="F106" s="6" t="s">
        <v>13</v>
      </c>
      <c r="G106" s="6" t="s">
        <v>110</v>
      </c>
      <c r="H106" s="6" t="s">
        <v>976</v>
      </c>
      <c r="I106" s="6" t="s">
        <v>5</v>
      </c>
      <c r="J106" s="29">
        <v>18.224</v>
      </c>
      <c r="K106" s="8">
        <f t="shared" si="24"/>
        <v>1.2606437067350251</v>
      </c>
      <c r="L106" s="8">
        <f t="shared" si="25"/>
        <v>7.5079095926929176</v>
      </c>
      <c r="M106" s="8"/>
      <c r="N106" s="8"/>
      <c r="O106" s="8">
        <v>1.0680000000000001</v>
      </c>
      <c r="P106" s="8">
        <f>0.645+0.793+0.782+0.111</f>
        <v>2.3310000000000004</v>
      </c>
      <c r="Q106" s="8"/>
      <c r="R106" s="8"/>
      <c r="S106" s="8">
        <v>1.4219999999999999</v>
      </c>
      <c r="T106" s="8">
        <f>0.46+0.865+1.165</f>
        <v>2.4900000000000002</v>
      </c>
      <c r="U106" s="8"/>
      <c r="V106" s="8">
        <f t="shared" si="32"/>
        <v>2.1825842696629216</v>
      </c>
      <c r="W106" s="8"/>
      <c r="X106" s="8">
        <f t="shared" si="33"/>
        <v>1.7510548523206753</v>
      </c>
      <c r="Y106" s="31">
        <f t="shared" si="26"/>
        <v>-0.29376451891269062</v>
      </c>
      <c r="Z106" s="31" t="str">
        <f t="shared" si="27"/>
        <v/>
      </c>
      <c r="AA106" s="31">
        <f t="shared" si="28"/>
        <v>-0.29376451891269062</v>
      </c>
    </row>
    <row r="107" spans="1:27" x14ac:dyDescent="0.25">
      <c r="A107" s="6" t="str">
        <f t="shared" si="22"/>
        <v>complete</v>
      </c>
      <c r="B107" s="6" t="s">
        <v>112</v>
      </c>
      <c r="C107" s="6" t="str">
        <f t="shared" si="23"/>
        <v>FU5 562</v>
      </c>
      <c r="D107" s="6" t="s">
        <v>111</v>
      </c>
      <c r="E107" s="20">
        <v>562</v>
      </c>
      <c r="F107" s="6" t="s">
        <v>13</v>
      </c>
      <c r="G107" s="6" t="s">
        <v>113</v>
      </c>
      <c r="H107" s="6" t="s">
        <v>976</v>
      </c>
      <c r="I107" s="6" t="s">
        <v>5</v>
      </c>
      <c r="J107" s="29">
        <v>22.483000000000001</v>
      </c>
      <c r="K107" s="8">
        <f t="shared" si="24"/>
        <v>1.3518542604787527</v>
      </c>
      <c r="L107" s="8">
        <f t="shared" si="25"/>
        <v>7.7179296540669569</v>
      </c>
      <c r="M107" s="8">
        <v>0.63</v>
      </c>
      <c r="N107" s="8">
        <f>0.646+0.561+0.265</f>
        <v>1.472</v>
      </c>
      <c r="O107" s="8">
        <v>1.008</v>
      </c>
      <c r="P107" s="8">
        <f>0.749+0.711</f>
        <v>1.46</v>
      </c>
      <c r="Q107" s="8">
        <v>0.221</v>
      </c>
      <c r="R107" s="8">
        <f>0.342+0.273+0.142</f>
        <v>0.75700000000000001</v>
      </c>
      <c r="S107" s="8">
        <v>0.56699999999999995</v>
      </c>
      <c r="T107" s="8">
        <f>0.291+0.466+0.621</f>
        <v>1.3780000000000001</v>
      </c>
      <c r="U107" s="8">
        <f>N107/M107</f>
        <v>2.3365079365079366</v>
      </c>
      <c r="V107" s="8">
        <f t="shared" si="32"/>
        <v>1.4484126984126984</v>
      </c>
      <c r="W107" s="8">
        <f>R107/Q107</f>
        <v>3.4253393665158369</v>
      </c>
      <c r="X107" s="8">
        <f t="shared" si="33"/>
        <v>2.4303350970017643</v>
      </c>
      <c r="Y107" s="31">
        <f t="shared" si="26"/>
        <v>-0.38204385170256161</v>
      </c>
      <c r="Z107" s="31" t="str">
        <f t="shared" si="27"/>
        <v/>
      </c>
      <c r="AA107" s="31">
        <f t="shared" si="28"/>
        <v>-0.38204385170256161</v>
      </c>
    </row>
    <row r="108" spans="1:27" x14ac:dyDescent="0.25">
      <c r="A108" s="6" t="str">
        <f t="shared" si="22"/>
        <v>fragment</v>
      </c>
      <c r="B108" s="6" t="s">
        <v>112</v>
      </c>
      <c r="C108" s="6" t="str">
        <f t="shared" si="23"/>
        <v>FU5 562</v>
      </c>
      <c r="D108" s="6" t="s">
        <v>111</v>
      </c>
      <c r="E108" s="20">
        <v>562</v>
      </c>
      <c r="F108" s="6" t="s">
        <v>13</v>
      </c>
      <c r="G108" s="6" t="s">
        <v>114</v>
      </c>
      <c r="H108" s="6" t="s">
        <v>976</v>
      </c>
      <c r="I108" s="6" t="s">
        <v>5</v>
      </c>
      <c r="J108" s="29"/>
      <c r="K108" s="8" t="str">
        <f t="shared" si="24"/>
        <v/>
      </c>
      <c r="L108" s="8" t="str">
        <f t="shared" si="25"/>
        <v/>
      </c>
      <c r="M108" s="8">
        <v>2.3759999999999999</v>
      </c>
      <c r="N108" s="8">
        <f>0.63+1.81+1.134</f>
        <v>3.5739999999999998</v>
      </c>
      <c r="O108" s="8">
        <v>1.429</v>
      </c>
      <c r="P108" s="8">
        <f>0.331+0.773+0.798+0.675+0.234</f>
        <v>2.8109999999999999</v>
      </c>
      <c r="Q108" s="8"/>
      <c r="R108" s="8"/>
      <c r="S108" s="8"/>
      <c r="T108" s="8"/>
      <c r="U108" s="8">
        <f>N108/M108</f>
        <v>1.5042087542087541</v>
      </c>
      <c r="V108" s="8">
        <f t="shared" si="32"/>
        <v>1.9671098670398879</v>
      </c>
      <c r="W108" s="8"/>
      <c r="X108" s="8"/>
      <c r="Y108" s="31">
        <f t="shared" si="26"/>
        <v>-0.2394644823402996</v>
      </c>
      <c r="Z108" s="31">
        <f t="shared" si="27"/>
        <v>-0.2394644823402996</v>
      </c>
      <c r="AA108" s="31" t="str">
        <f t="shared" si="28"/>
        <v/>
      </c>
    </row>
    <row r="109" spans="1:27" x14ac:dyDescent="0.25">
      <c r="A109" s="6" t="str">
        <f t="shared" si="22"/>
        <v>fragment</v>
      </c>
      <c r="B109" s="6" t="s">
        <v>112</v>
      </c>
      <c r="C109" s="6" t="str">
        <f t="shared" si="23"/>
        <v>FU5 562</v>
      </c>
      <c r="D109" s="6" t="s">
        <v>111</v>
      </c>
      <c r="E109" s="20">
        <v>562</v>
      </c>
      <c r="F109" s="6" t="s">
        <v>13</v>
      </c>
      <c r="G109" s="6" t="s">
        <v>115</v>
      </c>
      <c r="H109" s="6" t="s">
        <v>976</v>
      </c>
      <c r="I109" s="6" t="s">
        <v>5</v>
      </c>
      <c r="J109" s="29"/>
      <c r="K109" s="8" t="str">
        <f t="shared" si="24"/>
        <v/>
      </c>
      <c r="L109" s="8" t="str">
        <f t="shared" si="25"/>
        <v/>
      </c>
      <c r="M109" s="8">
        <v>0.99099999999999999</v>
      </c>
      <c r="N109" s="8">
        <f>0.874 + 0.6</f>
        <v>1.474</v>
      </c>
      <c r="O109" s="8">
        <v>0.80700000000000005</v>
      </c>
      <c r="P109" s="8">
        <f>0.591 + 0.74 + 0.525</f>
        <v>1.8559999999999999</v>
      </c>
      <c r="Q109" s="8"/>
      <c r="R109" s="8"/>
      <c r="S109" s="8">
        <v>2.081</v>
      </c>
      <c r="T109" s="8">
        <f>0.866+0.877+0.575+0.784</f>
        <v>3.1019999999999994</v>
      </c>
      <c r="U109" s="8">
        <f>N109/M109</f>
        <v>1.4873864783047426</v>
      </c>
      <c r="V109" s="8">
        <f t="shared" si="32"/>
        <v>2.2998760842627011</v>
      </c>
      <c r="W109" s="8"/>
      <c r="X109" s="8">
        <f>T109/S109</f>
        <v>1.4906295050456508</v>
      </c>
      <c r="Y109" s="31">
        <f t="shared" si="26"/>
        <v>-0.24533924997464934</v>
      </c>
      <c r="Z109" s="31">
        <f t="shared" si="27"/>
        <v>-0.24533924997464934</v>
      </c>
      <c r="AA109" s="31" t="str">
        <f t="shared" si="28"/>
        <v/>
      </c>
    </row>
    <row r="110" spans="1:27" x14ac:dyDescent="0.25">
      <c r="A110" s="6" t="str">
        <f t="shared" si="22"/>
        <v>complete</v>
      </c>
      <c r="B110" s="6" t="s">
        <v>112</v>
      </c>
      <c r="C110" s="6" t="str">
        <f t="shared" si="23"/>
        <v>FU5 562</v>
      </c>
      <c r="D110" s="6" t="s">
        <v>111</v>
      </c>
      <c r="E110" s="20">
        <v>562</v>
      </c>
      <c r="F110" s="6" t="s">
        <v>13</v>
      </c>
      <c r="G110" s="6" t="s">
        <v>116</v>
      </c>
      <c r="H110" s="6" t="s">
        <v>976</v>
      </c>
      <c r="I110" s="6" t="s">
        <v>5</v>
      </c>
      <c r="J110" s="29">
        <f>2*6.5244</f>
        <v>13.0488</v>
      </c>
      <c r="K110" s="8">
        <f t="shared" si="24"/>
        <v>1.1155705747133169</v>
      </c>
      <c r="L110" s="8">
        <f t="shared" si="25"/>
        <v>7.1738663615057749</v>
      </c>
      <c r="M110" s="8"/>
      <c r="N110" s="8"/>
      <c r="O110" s="8">
        <v>1.607</v>
      </c>
      <c r="P110" s="8">
        <f>1.13 + 0.931 + 0.88 + 0.762</f>
        <v>3.7029999999999998</v>
      </c>
      <c r="Q110" s="8"/>
      <c r="R110" s="8"/>
      <c r="S110" s="8"/>
      <c r="T110" s="8"/>
      <c r="U110" s="8"/>
      <c r="V110" s="8">
        <f t="shared" si="32"/>
        <v>2.3042937149968887</v>
      </c>
      <c r="W110" s="8"/>
      <c r="X110" s="8"/>
      <c r="Y110" s="31">
        <f t="shared" si="26"/>
        <v>-0.36253783528609806</v>
      </c>
      <c r="Z110" s="31" t="str">
        <f t="shared" si="27"/>
        <v/>
      </c>
      <c r="AA110" s="31">
        <f t="shared" si="28"/>
        <v>-0.36253783528609806</v>
      </c>
    </row>
    <row r="111" spans="1:27" x14ac:dyDescent="0.25">
      <c r="A111" s="6" t="str">
        <f t="shared" si="22"/>
        <v>complete</v>
      </c>
      <c r="B111" s="6" t="s">
        <v>1198</v>
      </c>
      <c r="C111" s="6" t="str">
        <f t="shared" si="23"/>
        <v>FU7 2217</v>
      </c>
      <c r="D111" s="6" t="s">
        <v>117</v>
      </c>
      <c r="E111" s="20">
        <v>2217</v>
      </c>
      <c r="F111" s="6" t="s">
        <v>16</v>
      </c>
      <c r="G111" s="6" t="s">
        <v>120</v>
      </c>
      <c r="H111" s="6" t="s">
        <v>975</v>
      </c>
      <c r="I111" s="6" t="s">
        <v>5</v>
      </c>
      <c r="J111" s="29">
        <v>14.688000000000001</v>
      </c>
      <c r="K111" s="8">
        <f t="shared" si="24"/>
        <v>1.1669626638571673</v>
      </c>
      <c r="L111" s="8">
        <f t="shared" si="25"/>
        <v>7.2922010198662264</v>
      </c>
      <c r="M111" s="8"/>
      <c r="N111" s="8"/>
      <c r="O111" s="8">
        <v>1.06</v>
      </c>
      <c r="P111" s="8">
        <f>0.587+0.994+0.644</f>
        <v>2.2250000000000001</v>
      </c>
      <c r="Q111" s="8"/>
      <c r="R111" s="8"/>
      <c r="S111" s="8">
        <v>0.68700000000000006</v>
      </c>
      <c r="T111" s="8">
        <f>0.234+0.791+0.521</f>
        <v>1.5460000000000003</v>
      </c>
      <c r="U111" s="8"/>
      <c r="V111" s="8">
        <f t="shared" si="32"/>
        <v>2.0990566037735849</v>
      </c>
      <c r="W111" s="8"/>
      <c r="X111" s="8">
        <f>T111/S111</f>
        <v>2.2503639010189231</v>
      </c>
      <c r="Y111" s="31">
        <f t="shared" si="26"/>
        <v>-0.33740140190309431</v>
      </c>
      <c r="Z111" s="31" t="str">
        <f t="shared" si="27"/>
        <v/>
      </c>
      <c r="AA111" s="31">
        <f t="shared" si="28"/>
        <v>-0.33740140190309431</v>
      </c>
    </row>
    <row r="112" spans="1:27" x14ac:dyDescent="0.25">
      <c r="A112" s="6" t="str">
        <f t="shared" si="22"/>
        <v>fragment</v>
      </c>
      <c r="B112" s="6" t="s">
        <v>1198</v>
      </c>
      <c r="C112" s="6" t="str">
        <f t="shared" si="23"/>
        <v>FU7 2217</v>
      </c>
      <c r="D112" s="6" t="s">
        <v>117</v>
      </c>
      <c r="E112" s="20">
        <v>2217</v>
      </c>
      <c r="F112" s="6" t="s">
        <v>16</v>
      </c>
      <c r="G112" s="6" t="s">
        <v>118</v>
      </c>
      <c r="H112" s="6" t="s">
        <v>975</v>
      </c>
      <c r="I112" s="6" t="s">
        <v>5</v>
      </c>
      <c r="J112" s="29"/>
      <c r="K112" s="8" t="str">
        <f t="shared" si="24"/>
        <v/>
      </c>
      <c r="L112" s="8" t="str">
        <f t="shared" si="25"/>
        <v/>
      </c>
      <c r="M112" s="8"/>
      <c r="N112" s="8"/>
      <c r="O112" s="8">
        <v>2.206</v>
      </c>
      <c r="P112" s="8">
        <f>1.051+1.825+0.509</f>
        <v>3.3849999999999998</v>
      </c>
      <c r="Q112" s="8"/>
      <c r="R112" s="8"/>
      <c r="S112" s="8"/>
      <c r="T112" s="8"/>
      <c r="U112" s="8"/>
      <c r="V112" s="8">
        <f t="shared" si="32"/>
        <v>1.5344514959202176</v>
      </c>
      <c r="W112" s="8"/>
      <c r="X112" s="8"/>
      <c r="Y112" s="31">
        <f t="shared" si="26"/>
        <v>-0.18595316491699129</v>
      </c>
      <c r="Z112" s="31">
        <f t="shared" si="27"/>
        <v>-0.18595316491699129</v>
      </c>
      <c r="AA112" s="31" t="str">
        <f t="shared" si="28"/>
        <v/>
      </c>
    </row>
    <row r="113" spans="1:27" x14ac:dyDescent="0.25">
      <c r="A113" s="6" t="str">
        <f t="shared" si="22"/>
        <v>complete</v>
      </c>
      <c r="B113" s="6" t="s">
        <v>1198</v>
      </c>
      <c r="C113" s="6" t="str">
        <f t="shared" si="23"/>
        <v>FU7 2217</v>
      </c>
      <c r="D113" s="6" t="s">
        <v>117</v>
      </c>
      <c r="E113" s="20">
        <v>2217</v>
      </c>
      <c r="F113" s="6" t="s">
        <v>16</v>
      </c>
      <c r="G113" s="6" t="s">
        <v>119</v>
      </c>
      <c r="H113" s="6" t="s">
        <v>975</v>
      </c>
      <c r="I113" s="6" t="s">
        <v>5</v>
      </c>
      <c r="J113" s="29">
        <v>17.116</v>
      </c>
      <c r="K113" s="8">
        <f t="shared" si="24"/>
        <v>1.2334022778118952</v>
      </c>
      <c r="L113" s="8">
        <f t="shared" si="25"/>
        <v>7.4451838845426614</v>
      </c>
      <c r="M113" s="8">
        <v>0.39900000000000002</v>
      </c>
      <c r="N113" s="8">
        <f>0.389+0.62</f>
        <v>1.0089999999999999</v>
      </c>
      <c r="O113" s="8">
        <v>1.399</v>
      </c>
      <c r="P113" s="8">
        <f>0.467+1.012+1.05+0.573</f>
        <v>3.1019999999999999</v>
      </c>
      <c r="Q113" s="8"/>
      <c r="R113" s="8"/>
      <c r="S113" s="8"/>
      <c r="T113" s="8"/>
      <c r="U113" s="8">
        <f>N113/M113</f>
        <v>2.5288220551378444</v>
      </c>
      <c r="V113" s="8">
        <f t="shared" si="32"/>
        <v>2.2172980700500355</v>
      </c>
      <c r="W113" s="8"/>
      <c r="X113" s="8"/>
      <c r="Y113" s="31">
        <f t="shared" si="26"/>
        <v>-0.37530873043099588</v>
      </c>
      <c r="Z113" s="31" t="str">
        <f t="shared" si="27"/>
        <v/>
      </c>
      <c r="AA113" s="31">
        <f t="shared" si="28"/>
        <v>-0.37530873043099588</v>
      </c>
    </row>
    <row r="114" spans="1:27" x14ac:dyDescent="0.25">
      <c r="A114" s="6" t="str">
        <f t="shared" si="22"/>
        <v>fragment</v>
      </c>
      <c r="B114" s="6" t="s">
        <v>1198</v>
      </c>
      <c r="C114" s="6" t="str">
        <f t="shared" si="23"/>
        <v>FU7 2217</v>
      </c>
      <c r="D114" s="6" t="s">
        <v>117</v>
      </c>
      <c r="E114" s="20">
        <v>2217</v>
      </c>
      <c r="F114" s="6" t="s">
        <v>16</v>
      </c>
      <c r="G114" s="6" t="s">
        <v>121</v>
      </c>
      <c r="H114" s="6" t="s">
        <v>975</v>
      </c>
      <c r="I114" s="6" t="s">
        <v>5</v>
      </c>
      <c r="J114" s="29"/>
      <c r="K114" s="8" t="str">
        <f t="shared" si="24"/>
        <v/>
      </c>
      <c r="L114" s="8" t="str">
        <f t="shared" si="25"/>
        <v/>
      </c>
      <c r="M114" s="8"/>
      <c r="N114" s="8"/>
      <c r="O114" s="8">
        <v>1.57</v>
      </c>
      <c r="P114" s="8">
        <f>0.556+0.972+0.473</f>
        <v>2.0009999999999999</v>
      </c>
      <c r="Q114" s="8">
        <v>2.48</v>
      </c>
      <c r="R114" s="8">
        <f>0.458+0.957+0.954+0.971</f>
        <v>3.34</v>
      </c>
      <c r="S114" s="8"/>
      <c r="T114" s="8"/>
      <c r="U114" s="8"/>
      <c r="V114" s="8">
        <f t="shared" si="32"/>
        <v>1.2745222929936304</v>
      </c>
      <c r="W114" s="8">
        <f>R114/Q114</f>
        <v>1.346774193548387</v>
      </c>
      <c r="X114" s="8"/>
      <c r="Y114" s="31">
        <f t="shared" si="26"/>
        <v>-0.11748614973394499</v>
      </c>
      <c r="Z114" s="31">
        <f t="shared" si="27"/>
        <v>-0.11748614973394499</v>
      </c>
      <c r="AA114" s="31" t="str">
        <f t="shared" si="28"/>
        <v/>
      </c>
    </row>
    <row r="115" spans="1:27" x14ac:dyDescent="0.25">
      <c r="A115" s="6" t="str">
        <f t="shared" si="22"/>
        <v>fragment</v>
      </c>
      <c r="B115" s="6" t="s">
        <v>1198</v>
      </c>
      <c r="C115" s="6" t="str">
        <f t="shared" si="23"/>
        <v>FU7 2217</v>
      </c>
      <c r="D115" s="6" t="s">
        <v>117</v>
      </c>
      <c r="E115" s="20">
        <v>2217</v>
      </c>
      <c r="F115" s="6" t="s">
        <v>16</v>
      </c>
      <c r="G115" s="6" t="s">
        <v>122</v>
      </c>
      <c r="H115" s="6" t="s">
        <v>975</v>
      </c>
      <c r="I115" s="6" t="s">
        <v>5</v>
      </c>
      <c r="J115" s="29"/>
      <c r="K115" s="8" t="str">
        <f t="shared" si="24"/>
        <v/>
      </c>
      <c r="L115" s="8" t="str">
        <f t="shared" si="25"/>
        <v/>
      </c>
      <c r="M115" s="8"/>
      <c r="N115" s="8"/>
      <c r="O115" s="8">
        <v>3.0920000000000001</v>
      </c>
      <c r="P115" s="8">
        <f>0.86+1.96+1.231</f>
        <v>4.0510000000000002</v>
      </c>
      <c r="Q115" s="8"/>
      <c r="R115" s="8"/>
      <c r="S115" s="8"/>
      <c r="T115" s="8"/>
      <c r="U115" s="8"/>
      <c r="V115" s="8">
        <f t="shared" si="32"/>
        <v>1.3101552393272962</v>
      </c>
      <c r="W115" s="8"/>
      <c r="X115" s="8"/>
      <c r="Y115" s="31">
        <f t="shared" si="26"/>
        <v>-0.11732275793730088</v>
      </c>
      <c r="Z115" s="31">
        <f t="shared" si="27"/>
        <v>-0.11732275793730088</v>
      </c>
      <c r="AA115" s="31" t="str">
        <f t="shared" si="28"/>
        <v/>
      </c>
    </row>
    <row r="116" spans="1:27" x14ac:dyDescent="0.25">
      <c r="A116" s="6" t="str">
        <f t="shared" si="22"/>
        <v>complete</v>
      </c>
      <c r="B116" s="6" t="s">
        <v>1198</v>
      </c>
      <c r="C116" s="6" t="str">
        <f t="shared" si="23"/>
        <v>FU7 427</v>
      </c>
      <c r="D116" s="6" t="s">
        <v>117</v>
      </c>
      <c r="E116" s="20">
        <v>427</v>
      </c>
      <c r="G116" s="6" t="s">
        <v>146</v>
      </c>
      <c r="H116" s="6" t="s">
        <v>975</v>
      </c>
      <c r="I116" s="6" t="s">
        <v>5</v>
      </c>
      <c r="J116" s="29">
        <v>19.459</v>
      </c>
      <c r="K116" s="8">
        <f t="shared" si="24"/>
        <v>1.2891205180679481</v>
      </c>
      <c r="L116" s="8">
        <f t="shared" si="25"/>
        <v>7.5734798739641098</v>
      </c>
      <c r="M116" s="8"/>
      <c r="N116" s="8"/>
      <c r="O116" s="8">
        <v>0.70199999999999996</v>
      </c>
      <c r="P116" s="8">
        <f>0.411+0.524+0.577+0.514</f>
        <v>2.0259999999999998</v>
      </c>
      <c r="Q116" s="8"/>
      <c r="R116" s="8"/>
      <c r="S116" s="8">
        <v>2.0179999999999998</v>
      </c>
      <c r="T116" s="8">
        <f>0.915+1.23+0.846</f>
        <v>2.9910000000000001</v>
      </c>
      <c r="U116" s="8"/>
      <c r="V116" s="8">
        <f t="shared" si="32"/>
        <v>2.8860398860398861</v>
      </c>
      <c r="W116" s="8"/>
      <c r="X116" s="8">
        <f>T116/S116</f>
        <v>1.4821605550049557</v>
      </c>
      <c r="Y116" s="31">
        <f t="shared" si="26"/>
        <v>-0.33927256270542738</v>
      </c>
      <c r="Z116" s="31" t="str">
        <f t="shared" si="27"/>
        <v/>
      </c>
      <c r="AA116" s="31">
        <f t="shared" si="28"/>
        <v>-0.33927256270542738</v>
      </c>
    </row>
    <row r="117" spans="1:27" x14ac:dyDescent="0.25">
      <c r="A117" s="6" t="str">
        <f t="shared" si="22"/>
        <v>complete</v>
      </c>
      <c r="B117" s="6" t="s">
        <v>1198</v>
      </c>
      <c r="C117" s="6" t="str">
        <f t="shared" si="23"/>
        <v>FU7 427</v>
      </c>
      <c r="D117" s="6" t="s">
        <v>117</v>
      </c>
      <c r="E117" s="20">
        <v>427</v>
      </c>
      <c r="G117" s="6" t="s">
        <v>147</v>
      </c>
      <c r="H117" s="6" t="s">
        <v>975</v>
      </c>
      <c r="I117" s="6" t="s">
        <v>5</v>
      </c>
      <c r="J117" s="29">
        <f>5.091*2</f>
        <v>10.182</v>
      </c>
      <c r="K117" s="8">
        <f t="shared" si="24"/>
        <v>1.0078330927013195</v>
      </c>
      <c r="L117" s="8">
        <f t="shared" si="25"/>
        <v>6.9257916414682361</v>
      </c>
      <c r="M117" s="8">
        <v>0.27900000000000003</v>
      </c>
      <c r="N117" s="8">
        <f>0.421+0.48</f>
        <v>0.90100000000000002</v>
      </c>
      <c r="O117" s="8">
        <v>0.65100000000000002</v>
      </c>
      <c r="P117" s="8">
        <f>0.415+0.277+0.483+0.399</f>
        <v>1.5739999999999998</v>
      </c>
      <c r="Q117" s="8"/>
      <c r="R117" s="8"/>
      <c r="S117" s="8"/>
      <c r="T117" s="8"/>
      <c r="U117" s="8">
        <f>N117/M117</f>
        <v>3.2293906810035842</v>
      </c>
      <c r="V117" s="8">
        <f t="shared" si="32"/>
        <v>2.4178187403993854</v>
      </c>
      <c r="W117" s="8"/>
      <c r="X117" s="8"/>
      <c r="Y117" s="31">
        <f t="shared" si="26"/>
        <v>-0.45080389777030788</v>
      </c>
      <c r="Z117" s="31" t="str">
        <f t="shared" si="27"/>
        <v/>
      </c>
      <c r="AA117" s="31">
        <f t="shared" si="28"/>
        <v>-0.45080389777030788</v>
      </c>
    </row>
    <row r="118" spans="1:27" x14ac:dyDescent="0.25">
      <c r="A118" s="6" t="str">
        <f t="shared" si="22"/>
        <v>complete</v>
      </c>
      <c r="B118" s="6" t="s">
        <v>1198</v>
      </c>
      <c r="C118" s="6" t="str">
        <f t="shared" si="23"/>
        <v>FU7 427</v>
      </c>
      <c r="D118" s="6" t="s">
        <v>117</v>
      </c>
      <c r="E118" s="20">
        <v>427</v>
      </c>
      <c r="G118" s="6" t="s">
        <v>148</v>
      </c>
      <c r="H118" s="6" t="s">
        <v>975</v>
      </c>
      <c r="I118" s="6" t="s">
        <v>5</v>
      </c>
      <c r="J118" s="29">
        <v>6.3970000000000002</v>
      </c>
      <c r="K118" s="8">
        <f t="shared" si="24"/>
        <v>0.80597635071756268</v>
      </c>
      <c r="L118" s="8">
        <f t="shared" si="25"/>
        <v>6.4609993164560917</v>
      </c>
      <c r="M118" s="8"/>
      <c r="N118" s="8"/>
      <c r="O118" s="8">
        <v>0.53800000000000003</v>
      </c>
      <c r="P118" s="8">
        <f>0.356+0.957+0.456</f>
        <v>1.7689999999999999</v>
      </c>
      <c r="Q118" s="8"/>
      <c r="R118" s="8"/>
      <c r="S118" s="8"/>
      <c r="T118" s="8"/>
      <c r="U118" s="8"/>
      <c r="V118" s="8">
        <f t="shared" si="32"/>
        <v>3.2881040892193303</v>
      </c>
      <c r="W118" s="8"/>
      <c r="X118" s="8"/>
      <c r="Y118" s="31">
        <f t="shared" si="26"/>
        <v>-0.5169455572433338</v>
      </c>
      <c r="Z118" s="31" t="str">
        <f t="shared" si="27"/>
        <v/>
      </c>
      <c r="AA118" s="31">
        <f t="shared" si="28"/>
        <v>-0.5169455572433338</v>
      </c>
    </row>
    <row r="119" spans="1:27" x14ac:dyDescent="0.25">
      <c r="A119" s="6" t="str">
        <f t="shared" si="22"/>
        <v>complete</v>
      </c>
      <c r="B119" s="6" t="s">
        <v>1198</v>
      </c>
      <c r="C119" s="6" t="str">
        <f t="shared" si="23"/>
        <v>FU7 427</v>
      </c>
      <c r="D119" s="6" t="s">
        <v>117</v>
      </c>
      <c r="E119" s="20">
        <v>427</v>
      </c>
      <c r="G119" s="6" t="s">
        <v>149</v>
      </c>
      <c r="H119" s="6" t="s">
        <v>975</v>
      </c>
      <c r="I119" s="6" t="s">
        <v>5</v>
      </c>
      <c r="J119" s="29">
        <f>6.879*2</f>
        <v>13.757999999999999</v>
      </c>
      <c r="K119" s="8">
        <f t="shared" si="24"/>
        <v>1.1385553051135824</v>
      </c>
      <c r="L119" s="8">
        <f t="shared" si="25"/>
        <v>7.2267906590919138</v>
      </c>
      <c r="M119" s="8"/>
      <c r="N119" s="8"/>
      <c r="O119" s="8">
        <v>1.4379999999999999</v>
      </c>
      <c r="P119" s="8">
        <f>0.906+1.6</f>
        <v>2.5060000000000002</v>
      </c>
      <c r="Q119" s="8"/>
      <c r="R119" s="8"/>
      <c r="S119" s="8"/>
      <c r="T119" s="8"/>
      <c r="U119" s="8"/>
      <c r="V119" s="8">
        <f t="shared" si="32"/>
        <v>1.7426981919332409</v>
      </c>
      <c r="W119" s="8"/>
      <c r="X119" s="8"/>
      <c r="Y119" s="31">
        <f t="shared" si="26"/>
        <v>-0.24122218061126749</v>
      </c>
      <c r="Z119" s="31" t="str">
        <f t="shared" si="27"/>
        <v/>
      </c>
      <c r="AA119" s="31">
        <f t="shared" si="28"/>
        <v>-0.24122218061126749</v>
      </c>
    </row>
    <row r="120" spans="1:27" x14ac:dyDescent="0.25">
      <c r="A120" s="6" t="str">
        <f t="shared" si="22"/>
        <v>complete</v>
      </c>
      <c r="B120" s="6" t="s">
        <v>1198</v>
      </c>
      <c r="C120" s="6" t="str">
        <f t="shared" si="23"/>
        <v>FU7 427</v>
      </c>
      <c r="D120" s="6" t="s">
        <v>117</v>
      </c>
      <c r="E120" s="20">
        <v>427</v>
      </c>
      <c r="G120" s="6" t="s">
        <v>150</v>
      </c>
      <c r="H120" s="6" t="s">
        <v>975</v>
      </c>
      <c r="I120" s="6" t="s">
        <v>5</v>
      </c>
      <c r="J120" s="29">
        <f>15.452*2</f>
        <v>30.904</v>
      </c>
      <c r="K120" s="8">
        <f t="shared" si="24"/>
        <v>1.4900146951367639</v>
      </c>
      <c r="L120" s="8">
        <f t="shared" si="25"/>
        <v>8.036055811352071</v>
      </c>
      <c r="M120" s="8">
        <v>1.677</v>
      </c>
      <c r="N120" s="8">
        <f>1.454+1.119</f>
        <v>2.573</v>
      </c>
      <c r="O120" s="8">
        <v>1.1839999999999999</v>
      </c>
      <c r="P120" s="8">
        <f>0.93+0.626</f>
        <v>1.556</v>
      </c>
      <c r="Q120" s="8"/>
      <c r="R120" s="8"/>
      <c r="S120" s="8"/>
      <c r="T120" s="8"/>
      <c r="U120" s="8">
        <f>N120/M120</f>
        <v>1.5342874180083481</v>
      </c>
      <c r="V120" s="8">
        <f t="shared" si="32"/>
        <v>1.3141891891891893</v>
      </c>
      <c r="W120" s="8"/>
      <c r="X120" s="8"/>
      <c r="Y120" s="31">
        <f t="shared" si="26"/>
        <v>-0.15358266154744957</v>
      </c>
      <c r="Z120" s="31" t="str">
        <f t="shared" si="27"/>
        <v/>
      </c>
      <c r="AA120" s="31">
        <f t="shared" si="28"/>
        <v>-0.15358266154744957</v>
      </c>
    </row>
    <row r="121" spans="1:27" x14ac:dyDescent="0.25">
      <c r="A121" s="6" t="str">
        <f t="shared" si="22"/>
        <v>complete</v>
      </c>
      <c r="B121" s="6" t="s">
        <v>1198</v>
      </c>
      <c r="C121" s="6" t="str">
        <f t="shared" si="23"/>
        <v>FU7 427</v>
      </c>
      <c r="D121" s="6" t="s">
        <v>117</v>
      </c>
      <c r="E121" s="20">
        <v>427</v>
      </c>
      <c r="G121" s="6" t="s">
        <v>151</v>
      </c>
      <c r="H121" s="6" t="s">
        <v>975</v>
      </c>
      <c r="I121" s="6" t="s">
        <v>5</v>
      </c>
      <c r="J121" s="29">
        <f>10.088*2</f>
        <v>20.175999999999998</v>
      </c>
      <c r="K121" s="8">
        <f t="shared" si="24"/>
        <v>1.3048350692290063</v>
      </c>
      <c r="L121" s="8">
        <f t="shared" si="25"/>
        <v>7.6096639652106548</v>
      </c>
      <c r="M121" s="8"/>
      <c r="N121" s="8"/>
      <c r="O121" s="8">
        <v>0.91300000000000003</v>
      </c>
      <c r="P121" s="8">
        <f>0.34+0.878+0.674</f>
        <v>1.8919999999999999</v>
      </c>
      <c r="Q121" s="8"/>
      <c r="R121" s="8"/>
      <c r="S121" s="8">
        <v>2.3439999999999999</v>
      </c>
      <c r="T121" s="8">
        <f>0.41+1.676+1.429</f>
        <v>3.5149999999999997</v>
      </c>
      <c r="U121" s="8"/>
      <c r="V121" s="8">
        <f t="shared" si="32"/>
        <v>2.072289156626506</v>
      </c>
      <c r="W121" s="8"/>
      <c r="X121" s="8">
        <f t="shared" ref="X121:X128" si="34">T121/S121</f>
        <v>1.4995733788395904</v>
      </c>
      <c r="Y121" s="31">
        <f t="shared" si="26"/>
        <v>-0.25186474088026906</v>
      </c>
      <c r="Z121" s="31" t="str">
        <f t="shared" si="27"/>
        <v/>
      </c>
      <c r="AA121" s="31">
        <f t="shared" si="28"/>
        <v>-0.25186474088026906</v>
      </c>
    </row>
    <row r="122" spans="1:27" x14ac:dyDescent="0.25">
      <c r="A122" s="6" t="str">
        <f t="shared" si="22"/>
        <v>fragment</v>
      </c>
      <c r="B122" s="6" t="s">
        <v>1198</v>
      </c>
      <c r="C122" s="6" t="str">
        <f t="shared" si="23"/>
        <v>FU7 427</v>
      </c>
      <c r="D122" s="6" t="s">
        <v>117</v>
      </c>
      <c r="E122" s="20">
        <v>427</v>
      </c>
      <c r="G122" s="6" t="s">
        <v>152</v>
      </c>
      <c r="H122" s="6" t="s">
        <v>975</v>
      </c>
      <c r="I122" s="6" t="s">
        <v>5</v>
      </c>
      <c r="J122" s="29"/>
      <c r="K122" s="8" t="str">
        <f t="shared" si="24"/>
        <v/>
      </c>
      <c r="L122" s="8" t="str">
        <f t="shared" si="25"/>
        <v/>
      </c>
      <c r="M122" s="8"/>
      <c r="N122" s="8"/>
      <c r="O122" s="8">
        <v>1.4059999999999999</v>
      </c>
      <c r="P122" s="8">
        <f>0.951+0.78</f>
        <v>1.7309999999999999</v>
      </c>
      <c r="Q122" s="8"/>
      <c r="R122" s="8"/>
      <c r="S122" s="8">
        <v>2.6309999999999998</v>
      </c>
      <c r="T122" s="8">
        <f>0.826+1.444+0.368</f>
        <v>2.6379999999999999</v>
      </c>
      <c r="U122" s="8"/>
      <c r="V122" s="8">
        <f t="shared" si="32"/>
        <v>1.2311522048364154</v>
      </c>
      <c r="W122" s="8"/>
      <c r="X122" s="8">
        <f t="shared" si="34"/>
        <v>1.0026605853287724</v>
      </c>
      <c r="Y122" s="31">
        <f t="shared" si="26"/>
        <v>-4.8016777589617692E-2</v>
      </c>
      <c r="Z122" s="31">
        <f t="shared" si="27"/>
        <v>-4.8016777589617692E-2</v>
      </c>
      <c r="AA122" s="31" t="str">
        <f t="shared" si="28"/>
        <v/>
      </c>
    </row>
    <row r="123" spans="1:27" x14ac:dyDescent="0.25">
      <c r="A123" s="6" t="str">
        <f t="shared" si="22"/>
        <v>complete</v>
      </c>
      <c r="B123" s="6" t="s">
        <v>1198</v>
      </c>
      <c r="C123" s="6" t="str">
        <f t="shared" si="23"/>
        <v>FU7 427</v>
      </c>
      <c r="D123" s="6" t="s">
        <v>117</v>
      </c>
      <c r="E123" s="20">
        <v>427</v>
      </c>
      <c r="G123" s="6" t="s">
        <v>153</v>
      </c>
      <c r="H123" s="6" t="s">
        <v>975</v>
      </c>
      <c r="I123" s="6" t="s">
        <v>5</v>
      </c>
      <c r="J123" s="29">
        <f>4.619*2</f>
        <v>9.2379999999999995</v>
      </c>
      <c r="K123" s="8">
        <f t="shared" si="24"/>
        <v>0.96557795791052792</v>
      </c>
      <c r="L123" s="8">
        <f t="shared" si="25"/>
        <v>6.828495597996505</v>
      </c>
      <c r="M123" s="8"/>
      <c r="N123" s="8"/>
      <c r="O123" s="8">
        <v>0.94</v>
      </c>
      <c r="P123" s="8">
        <f>0.405+1.181</f>
        <v>1.5860000000000001</v>
      </c>
      <c r="Q123" s="8"/>
      <c r="R123" s="8"/>
      <c r="S123" s="8">
        <v>0.98799999999999999</v>
      </c>
      <c r="T123" s="8">
        <f>0.712+1.019</f>
        <v>1.7309999999999999</v>
      </c>
      <c r="U123" s="8"/>
      <c r="V123" s="8">
        <f t="shared" si="32"/>
        <v>1.6872340425531918</v>
      </c>
      <c r="W123" s="8"/>
      <c r="X123" s="8">
        <f t="shared" si="34"/>
        <v>1.7520242914979756</v>
      </c>
      <c r="Y123" s="31">
        <f t="shared" si="26"/>
        <v>-0.23543480267597608</v>
      </c>
      <c r="Z123" s="31" t="str">
        <f t="shared" si="27"/>
        <v/>
      </c>
      <c r="AA123" s="31">
        <f t="shared" si="28"/>
        <v>-0.23543480267597608</v>
      </c>
    </row>
    <row r="124" spans="1:27" x14ac:dyDescent="0.25">
      <c r="A124" s="6" t="str">
        <f t="shared" si="22"/>
        <v>complete</v>
      </c>
      <c r="B124" s="6" t="s">
        <v>1198</v>
      </c>
      <c r="C124" s="6" t="str">
        <f t="shared" si="23"/>
        <v>FU7 427</v>
      </c>
      <c r="D124" s="6" t="s">
        <v>117</v>
      </c>
      <c r="E124" s="20">
        <v>427</v>
      </c>
      <c r="G124" s="6" t="s">
        <v>954</v>
      </c>
      <c r="H124" s="6" t="s">
        <v>975</v>
      </c>
      <c r="I124" s="6" t="s">
        <v>5</v>
      </c>
      <c r="J124" s="29">
        <f>10.397*2</f>
        <v>20.794</v>
      </c>
      <c r="K124" s="8">
        <f t="shared" si="24"/>
        <v>1.317938039636056</v>
      </c>
      <c r="L124" s="8">
        <f t="shared" si="25"/>
        <v>7.6398346695438697</v>
      </c>
      <c r="M124" s="8"/>
      <c r="N124" s="8"/>
      <c r="O124" s="8">
        <v>1.3029999999999999</v>
      </c>
      <c r="P124" s="8">
        <f>1.108+0.719+0.723</f>
        <v>2.5499999999999998</v>
      </c>
      <c r="Q124" s="8"/>
      <c r="R124" s="8"/>
      <c r="S124" s="8">
        <v>0.90700000000000003</v>
      </c>
      <c r="T124" s="8">
        <f>0.429+0.531</f>
        <v>0.96</v>
      </c>
      <c r="U124" s="8"/>
      <c r="V124" s="8">
        <f t="shared" si="32"/>
        <v>1.9570222563315425</v>
      </c>
      <c r="W124" s="8"/>
      <c r="X124" s="8">
        <f t="shared" si="34"/>
        <v>1.0584343991179712</v>
      </c>
      <c r="Y124" s="31">
        <f t="shared" si="26"/>
        <v>-0.17832309458474552</v>
      </c>
      <c r="Z124" s="31" t="str">
        <f t="shared" si="27"/>
        <v/>
      </c>
      <c r="AA124" s="31">
        <f t="shared" si="28"/>
        <v>-0.17832309458474552</v>
      </c>
    </row>
    <row r="125" spans="1:27" x14ac:dyDescent="0.25">
      <c r="A125" s="6" t="str">
        <f t="shared" si="22"/>
        <v>complete</v>
      </c>
      <c r="B125" s="6" t="s">
        <v>1198</v>
      </c>
      <c r="C125" s="6" t="str">
        <f t="shared" si="23"/>
        <v>FU7 427</v>
      </c>
      <c r="D125" s="6" t="s">
        <v>117</v>
      </c>
      <c r="E125" s="20">
        <v>427</v>
      </c>
      <c r="G125" s="6" t="s">
        <v>955</v>
      </c>
      <c r="H125" s="6" t="s">
        <v>975</v>
      </c>
      <c r="I125" s="6" t="s">
        <v>5</v>
      </c>
      <c r="J125" s="29">
        <f>10.283*2</f>
        <v>20.565999999999999</v>
      </c>
      <c r="K125" s="8">
        <f t="shared" si="24"/>
        <v>1.3131498314684944</v>
      </c>
      <c r="L125" s="8">
        <f t="shared" si="25"/>
        <v>7.6288094127950901</v>
      </c>
      <c r="M125" s="8"/>
      <c r="N125" s="8"/>
      <c r="O125" s="8">
        <v>1.292</v>
      </c>
      <c r="P125" s="8">
        <f>1.036+0.739+0.644</f>
        <v>2.419</v>
      </c>
      <c r="Q125" s="8"/>
      <c r="R125" s="8"/>
      <c r="S125" s="8">
        <v>1.494</v>
      </c>
      <c r="T125" s="8">
        <f>0.482+1.12+0.945</f>
        <v>2.5470000000000002</v>
      </c>
      <c r="U125" s="8"/>
      <c r="V125" s="8">
        <f t="shared" si="32"/>
        <v>1.8722910216718267</v>
      </c>
      <c r="W125" s="8"/>
      <c r="X125" s="8">
        <f t="shared" si="34"/>
        <v>1.7048192771084338</v>
      </c>
      <c r="Y125" s="31">
        <f t="shared" si="26"/>
        <v>-0.25250233598990818</v>
      </c>
      <c r="Z125" s="31" t="str">
        <f t="shared" si="27"/>
        <v/>
      </c>
      <c r="AA125" s="31">
        <f t="shared" si="28"/>
        <v>-0.25250233598990818</v>
      </c>
    </row>
    <row r="126" spans="1:27" x14ac:dyDescent="0.25">
      <c r="A126" s="6" t="str">
        <f t="shared" si="22"/>
        <v>complete</v>
      </c>
      <c r="B126" s="6" t="s">
        <v>1198</v>
      </c>
      <c r="C126" s="6" t="str">
        <f t="shared" si="23"/>
        <v>FU7 436</v>
      </c>
      <c r="D126" s="6" t="s">
        <v>117</v>
      </c>
      <c r="E126" s="20">
        <v>436</v>
      </c>
      <c r="F126" s="6" t="s">
        <v>24</v>
      </c>
      <c r="G126" s="6" t="s">
        <v>144</v>
      </c>
      <c r="H126" s="6" t="s">
        <v>974</v>
      </c>
      <c r="I126" s="6" t="s">
        <v>5</v>
      </c>
      <c r="J126" s="29">
        <v>28.227</v>
      </c>
      <c r="K126" s="8">
        <f t="shared" si="24"/>
        <v>1.4506647232521521</v>
      </c>
      <c r="L126" s="8">
        <f t="shared" si="25"/>
        <v>7.9454491526808297</v>
      </c>
      <c r="M126" s="8"/>
      <c r="N126" s="8"/>
      <c r="O126" s="8">
        <v>1.0900000000000001</v>
      </c>
      <c r="P126" s="8">
        <f>0.579+0.864+0.423</f>
        <v>1.8660000000000001</v>
      </c>
      <c r="Q126" s="8"/>
      <c r="R126" s="8"/>
      <c r="S126" s="8">
        <v>2.0339999999999998</v>
      </c>
      <c r="T126" s="8">
        <f>1.71+0.906</f>
        <v>2.6160000000000001</v>
      </c>
      <c r="U126" s="8"/>
      <c r="V126" s="8">
        <f t="shared" si="32"/>
        <v>1.7119266055045872</v>
      </c>
      <c r="W126" s="8"/>
      <c r="X126" s="8">
        <f t="shared" si="34"/>
        <v>1.2861356932153394</v>
      </c>
      <c r="Y126" s="31">
        <f t="shared" si="26"/>
        <v>-0.17581065743439842</v>
      </c>
      <c r="Z126" s="31" t="str">
        <f t="shared" si="27"/>
        <v/>
      </c>
      <c r="AA126" s="31">
        <f t="shared" si="28"/>
        <v>-0.17581065743439842</v>
      </c>
    </row>
    <row r="127" spans="1:27" x14ac:dyDescent="0.25">
      <c r="A127" s="6" t="str">
        <f t="shared" si="22"/>
        <v>complete</v>
      </c>
      <c r="B127" s="6" t="s">
        <v>1198</v>
      </c>
      <c r="C127" s="6" t="str">
        <f t="shared" si="23"/>
        <v>FU7 436</v>
      </c>
      <c r="D127" s="6" t="s">
        <v>117</v>
      </c>
      <c r="E127" s="20">
        <v>436</v>
      </c>
      <c r="F127" s="6" t="s">
        <v>24</v>
      </c>
      <c r="G127" s="6" t="s">
        <v>136</v>
      </c>
      <c r="H127" s="6" t="s">
        <v>974</v>
      </c>
      <c r="I127" s="6" t="s">
        <v>5</v>
      </c>
      <c r="J127" s="29">
        <f>29.032*2</f>
        <v>58.064</v>
      </c>
      <c r="K127" s="8">
        <f t="shared" si="24"/>
        <v>1.7639069508564813</v>
      </c>
      <c r="L127" s="8">
        <f t="shared" si="25"/>
        <v>8.666716036458805</v>
      </c>
      <c r="M127" s="8"/>
      <c r="N127" s="8"/>
      <c r="O127" s="8">
        <v>2.484</v>
      </c>
      <c r="P127" s="8">
        <f>0.845+1.224+0.962</f>
        <v>3.0309999999999997</v>
      </c>
      <c r="Q127" s="8"/>
      <c r="R127" s="8"/>
      <c r="S127" s="8">
        <v>3.8439999999999999</v>
      </c>
      <c r="T127" s="8">
        <f>1.729+0.314+1.56+1.281</f>
        <v>4.8840000000000003</v>
      </c>
      <c r="U127" s="8"/>
      <c r="V127" s="8">
        <f t="shared" si="32"/>
        <v>1.220209339774557</v>
      </c>
      <c r="W127" s="8"/>
      <c r="X127" s="8">
        <f t="shared" si="34"/>
        <v>1.2705515088449533</v>
      </c>
      <c r="Y127" s="31">
        <f t="shared" si="26"/>
        <v>-9.5302034919129947E-2</v>
      </c>
      <c r="Z127" s="31" t="str">
        <f t="shared" si="27"/>
        <v/>
      </c>
      <c r="AA127" s="31">
        <f t="shared" si="28"/>
        <v>-9.5302034919129947E-2</v>
      </c>
    </row>
    <row r="128" spans="1:27" x14ac:dyDescent="0.25">
      <c r="A128" s="6" t="str">
        <f t="shared" si="22"/>
        <v>fragment</v>
      </c>
      <c r="B128" s="6" t="s">
        <v>1198</v>
      </c>
      <c r="C128" s="6" t="str">
        <f t="shared" si="23"/>
        <v>FU7 436</v>
      </c>
      <c r="D128" s="6" t="s">
        <v>117</v>
      </c>
      <c r="E128" s="20">
        <v>436</v>
      </c>
      <c r="F128" s="6" t="s">
        <v>24</v>
      </c>
      <c r="G128" s="6" t="s">
        <v>137</v>
      </c>
      <c r="H128" s="6" t="s">
        <v>974</v>
      </c>
      <c r="I128" s="6" t="s">
        <v>5</v>
      </c>
      <c r="J128" s="29"/>
      <c r="K128" s="8" t="str">
        <f t="shared" si="24"/>
        <v/>
      </c>
      <c r="L128" s="8" t="str">
        <f t="shared" si="25"/>
        <v/>
      </c>
      <c r="M128" s="8"/>
      <c r="N128" s="8"/>
      <c r="O128" s="8">
        <v>1.591</v>
      </c>
      <c r="P128" s="8">
        <f>0.769+0.928+0.872</f>
        <v>2.569</v>
      </c>
      <c r="Q128" s="8"/>
      <c r="R128" s="8"/>
      <c r="S128" s="8">
        <v>2.1309999999999998</v>
      </c>
      <c r="T128" s="8">
        <f>1.753+0.756</f>
        <v>2.5089999999999999</v>
      </c>
      <c r="U128" s="8"/>
      <c r="V128" s="8">
        <f t="shared" si="32"/>
        <v>1.6147077309868008</v>
      </c>
      <c r="W128" s="8"/>
      <c r="X128" s="8">
        <f t="shared" si="34"/>
        <v>1.1773815110276866</v>
      </c>
      <c r="Y128" s="31">
        <f t="shared" si="26"/>
        <v>-0.14489929962491085</v>
      </c>
      <c r="Z128" s="31">
        <f t="shared" si="27"/>
        <v>-0.14489929962491085</v>
      </c>
      <c r="AA128" s="31" t="str">
        <f t="shared" si="28"/>
        <v/>
      </c>
    </row>
    <row r="129" spans="1:27" x14ac:dyDescent="0.25">
      <c r="A129" s="6" t="str">
        <f t="shared" si="22"/>
        <v>fragment</v>
      </c>
      <c r="B129" s="6" t="s">
        <v>1198</v>
      </c>
      <c r="C129" s="6" t="str">
        <f t="shared" si="23"/>
        <v>FU7 436</v>
      </c>
      <c r="D129" s="6" t="s">
        <v>117</v>
      </c>
      <c r="E129" s="20">
        <v>436</v>
      </c>
      <c r="F129" s="6" t="s">
        <v>24</v>
      </c>
      <c r="G129" s="6" t="s">
        <v>138</v>
      </c>
      <c r="H129" s="6" t="s">
        <v>974</v>
      </c>
      <c r="I129" s="6" t="s">
        <v>5</v>
      </c>
      <c r="J129" s="29"/>
      <c r="K129" s="8" t="str">
        <f t="shared" si="24"/>
        <v/>
      </c>
      <c r="L129" s="8" t="str">
        <f t="shared" si="25"/>
        <v/>
      </c>
      <c r="M129" s="8"/>
      <c r="N129" s="8"/>
      <c r="O129" s="8">
        <v>1.7370000000000001</v>
      </c>
      <c r="P129" s="8">
        <f>0.589+1.579+0.787</f>
        <v>2.9550000000000001</v>
      </c>
      <c r="Q129" s="8"/>
      <c r="R129" s="8"/>
      <c r="S129" s="8"/>
      <c r="T129" s="8"/>
      <c r="U129" s="8"/>
      <c r="V129" s="8">
        <f t="shared" si="32"/>
        <v>1.701208981001727</v>
      </c>
      <c r="W129" s="8"/>
      <c r="X129" s="8"/>
      <c r="Y129" s="31">
        <f t="shared" si="26"/>
        <v>-0.23075766677017551</v>
      </c>
      <c r="Z129" s="31">
        <f t="shared" si="27"/>
        <v>-0.23075766677017551</v>
      </c>
      <c r="AA129" s="31" t="str">
        <f t="shared" si="28"/>
        <v/>
      </c>
    </row>
    <row r="130" spans="1:27" x14ac:dyDescent="0.25">
      <c r="A130" s="6" t="str">
        <f t="shared" ref="A130:A193" si="35">IF(J130&gt;0,"complete","fragment")</f>
        <v>fragment</v>
      </c>
      <c r="B130" s="6" t="s">
        <v>1198</v>
      </c>
      <c r="C130" s="6" t="str">
        <f t="shared" ref="C130:C193" si="36">D130&amp;" "&amp;E130</f>
        <v>FU7 436</v>
      </c>
      <c r="D130" s="6" t="s">
        <v>117</v>
      </c>
      <c r="E130" s="20">
        <v>436</v>
      </c>
      <c r="F130" s="6" t="s">
        <v>24</v>
      </c>
      <c r="G130" s="6" t="s">
        <v>139</v>
      </c>
      <c r="H130" s="6" t="s">
        <v>974</v>
      </c>
      <c r="I130" s="6" t="s">
        <v>5</v>
      </c>
      <c r="J130" s="29"/>
      <c r="K130" s="8" t="str">
        <f t="shared" ref="K130:K193" si="37">IF(J130&gt;0,LOG(J130),"")</f>
        <v/>
      </c>
      <c r="L130" s="8" t="str">
        <f t="shared" ref="L130:L193" si="38">IF(J130&gt;0,LN(J130*100),"")</f>
        <v/>
      </c>
      <c r="M130" s="8"/>
      <c r="N130" s="8"/>
      <c r="O130" s="8">
        <v>1.4359999999999999</v>
      </c>
      <c r="P130" s="8">
        <f>0.879+1.038+0.433</f>
        <v>2.35</v>
      </c>
      <c r="Q130" s="8"/>
      <c r="R130" s="8"/>
      <c r="S130" s="8">
        <v>2.6120000000000001</v>
      </c>
      <c r="T130" s="8">
        <f>1.326+1.358+1.336</f>
        <v>4.0200000000000005</v>
      </c>
      <c r="U130" s="8"/>
      <c r="V130" s="8">
        <f t="shared" si="32"/>
        <v>1.636490250696379</v>
      </c>
      <c r="W130" s="8"/>
      <c r="X130" s="8">
        <f>T130/S130</f>
        <v>1.5390505359877489</v>
      </c>
      <c r="Y130" s="31">
        <f t="shared" ref="Y130:Y193" si="39">IF(COUNT(U130:X130)&gt;0,LOG(1/AVERAGE(U130:X130)),"")</f>
        <v>-0.20078769953049344</v>
      </c>
      <c r="Z130" s="31">
        <f t="shared" ref="Z130:Z193" si="40">IF(A130="fragment",IF(ISNUMBER(Y130)=TRUE,Y130,""),"")</f>
        <v>-0.20078769953049344</v>
      </c>
      <c r="AA130" s="31" t="str">
        <f t="shared" ref="AA130:AA193" si="41">IF(A130="complete",IF(ISNUMBER(Y130)=TRUE,Y130,""),"")</f>
        <v/>
      </c>
    </row>
    <row r="131" spans="1:27" x14ac:dyDescent="0.25">
      <c r="A131" s="6" t="str">
        <f t="shared" si="35"/>
        <v>complete</v>
      </c>
      <c r="B131" s="6" t="s">
        <v>1198</v>
      </c>
      <c r="C131" s="6" t="str">
        <f t="shared" si="36"/>
        <v>FU7 436</v>
      </c>
      <c r="D131" s="6" t="s">
        <v>117</v>
      </c>
      <c r="E131" s="20">
        <v>436</v>
      </c>
      <c r="F131" s="6" t="s">
        <v>24</v>
      </c>
      <c r="G131" s="6" t="s">
        <v>140</v>
      </c>
      <c r="H131" s="6" t="s">
        <v>974</v>
      </c>
      <c r="I131" s="6" t="s">
        <v>5</v>
      </c>
      <c r="J131" s="29">
        <f>19.107*2</f>
        <v>38.213999999999999</v>
      </c>
      <c r="K131" s="8">
        <f t="shared" si="37"/>
        <v>1.5822224992693048</v>
      </c>
      <c r="L131" s="8">
        <f t="shared" si="38"/>
        <v>8.2483721266053749</v>
      </c>
      <c r="M131" s="8"/>
      <c r="N131" s="8"/>
      <c r="O131" s="8">
        <v>3.1440000000000001</v>
      </c>
      <c r="P131" s="8">
        <f>1.333+1.47+1.041</f>
        <v>3.8439999999999999</v>
      </c>
      <c r="Q131" s="8"/>
      <c r="R131" s="8"/>
      <c r="S131" s="8">
        <v>2.754</v>
      </c>
      <c r="T131" s="8">
        <f>0.972+2.479</f>
        <v>3.4510000000000001</v>
      </c>
      <c r="U131" s="8"/>
      <c r="V131" s="8">
        <f t="shared" si="32"/>
        <v>1.2226463104325698</v>
      </c>
      <c r="W131" s="8"/>
      <c r="X131" s="8">
        <f>T131/S131</f>
        <v>1.2530864197530864</v>
      </c>
      <c r="Y131" s="31">
        <f t="shared" si="39"/>
        <v>-9.2673762587675027E-2</v>
      </c>
      <c r="Z131" s="31" t="str">
        <f t="shared" si="40"/>
        <v/>
      </c>
      <c r="AA131" s="31">
        <f t="shared" si="41"/>
        <v>-9.2673762587675027E-2</v>
      </c>
    </row>
    <row r="132" spans="1:27" x14ac:dyDescent="0.25">
      <c r="A132" s="6" t="str">
        <f t="shared" si="35"/>
        <v>complete</v>
      </c>
      <c r="B132" s="6" t="s">
        <v>1198</v>
      </c>
      <c r="C132" s="6" t="str">
        <f t="shared" si="36"/>
        <v>FU7 436</v>
      </c>
      <c r="D132" s="6" t="s">
        <v>117</v>
      </c>
      <c r="E132" s="20">
        <v>436</v>
      </c>
      <c r="F132" s="6" t="s">
        <v>24</v>
      </c>
      <c r="G132" s="6" t="s">
        <v>141</v>
      </c>
      <c r="H132" s="6" t="s">
        <v>974</v>
      </c>
      <c r="I132" s="6" t="s">
        <v>5</v>
      </c>
      <c r="J132" s="29">
        <f>7.643*2</f>
        <v>15.286</v>
      </c>
      <c r="K132" s="8">
        <f t="shared" si="37"/>
        <v>1.1842938552489553</v>
      </c>
      <c r="L132" s="8">
        <f t="shared" si="38"/>
        <v>7.3321075628087833</v>
      </c>
      <c r="M132" s="8"/>
      <c r="N132" s="8"/>
      <c r="O132" s="8">
        <v>0.67900000000000005</v>
      </c>
      <c r="P132" s="8">
        <f>0.516+0.718+0.462</f>
        <v>1.696</v>
      </c>
      <c r="Q132" s="8"/>
      <c r="R132" s="8"/>
      <c r="S132" s="8">
        <v>0.89300000000000002</v>
      </c>
      <c r="T132" s="8">
        <f>0.618+0.974</f>
        <v>1.5920000000000001</v>
      </c>
      <c r="U132" s="8"/>
      <c r="V132" s="8">
        <f t="shared" si="32"/>
        <v>2.4977908689248891</v>
      </c>
      <c r="W132" s="8"/>
      <c r="X132" s="8">
        <f>T132/S132</f>
        <v>1.782754759238522</v>
      </c>
      <c r="Y132" s="31">
        <f t="shared" si="39"/>
        <v>-0.33046913507755588</v>
      </c>
      <c r="Z132" s="31" t="str">
        <f t="shared" si="40"/>
        <v/>
      </c>
      <c r="AA132" s="31">
        <f t="shared" si="41"/>
        <v>-0.33046913507755588</v>
      </c>
    </row>
    <row r="133" spans="1:27" x14ac:dyDescent="0.25">
      <c r="A133" s="6" t="str">
        <f t="shared" si="35"/>
        <v>fragment</v>
      </c>
      <c r="B133" s="6" t="s">
        <v>1198</v>
      </c>
      <c r="C133" s="6" t="str">
        <f t="shared" si="36"/>
        <v>FU7 436</v>
      </c>
      <c r="D133" s="6" t="s">
        <v>117</v>
      </c>
      <c r="E133" s="20">
        <v>436</v>
      </c>
      <c r="F133" s="6" t="s">
        <v>24</v>
      </c>
      <c r="G133" s="6" t="s">
        <v>142</v>
      </c>
      <c r="H133" s="6" t="s">
        <v>974</v>
      </c>
      <c r="I133" s="6" t="s">
        <v>5</v>
      </c>
      <c r="J133" s="29"/>
      <c r="K133" s="8" t="str">
        <f t="shared" si="37"/>
        <v/>
      </c>
      <c r="L133" s="8" t="str">
        <f t="shared" si="38"/>
        <v/>
      </c>
      <c r="M133" s="8"/>
      <c r="N133" s="8"/>
      <c r="O133" s="8">
        <v>2.3330000000000002</v>
      </c>
      <c r="P133" s="8">
        <f>1.336+1.29</f>
        <v>2.6260000000000003</v>
      </c>
      <c r="Q133" s="8"/>
      <c r="R133" s="8"/>
      <c r="S133" s="8">
        <v>2.0259999999999998</v>
      </c>
      <c r="T133" s="8">
        <f>1.499+1.318</f>
        <v>2.8170000000000002</v>
      </c>
      <c r="U133" s="8"/>
      <c r="V133" s="8">
        <f t="shared" si="32"/>
        <v>1.1255893699099873</v>
      </c>
      <c r="W133" s="8"/>
      <c r="X133" s="8">
        <f>T133/S133</f>
        <v>1.3904244817374138</v>
      </c>
      <c r="Y133" s="31">
        <f t="shared" si="39"/>
        <v>-9.9683032078038733E-2</v>
      </c>
      <c r="Z133" s="31">
        <f t="shared" si="40"/>
        <v>-9.9683032078038733E-2</v>
      </c>
      <c r="AA133" s="31" t="str">
        <f t="shared" si="41"/>
        <v/>
      </c>
    </row>
    <row r="134" spans="1:27" x14ac:dyDescent="0.25">
      <c r="A134" s="6" t="str">
        <f t="shared" si="35"/>
        <v>fragment</v>
      </c>
      <c r="B134" s="6" t="s">
        <v>1198</v>
      </c>
      <c r="C134" s="6" t="str">
        <f t="shared" si="36"/>
        <v>FU7 436</v>
      </c>
      <c r="D134" s="6" t="s">
        <v>117</v>
      </c>
      <c r="E134" s="20">
        <v>436</v>
      </c>
      <c r="F134" s="6" t="s">
        <v>24</v>
      </c>
      <c r="G134" s="6" t="s">
        <v>143</v>
      </c>
      <c r="H134" s="6" t="s">
        <v>974</v>
      </c>
      <c r="I134" s="6" t="s">
        <v>5</v>
      </c>
      <c r="J134" s="29"/>
      <c r="K134" s="8" t="str">
        <f t="shared" si="37"/>
        <v/>
      </c>
      <c r="L134" s="8" t="str">
        <f t="shared" si="38"/>
        <v/>
      </c>
      <c r="M134" s="8"/>
      <c r="N134" s="8"/>
      <c r="O134" s="8">
        <v>1.4890000000000001</v>
      </c>
      <c r="P134" s="8">
        <f>0.532+1.187+0.421+0.478</f>
        <v>2.6180000000000003</v>
      </c>
      <c r="Q134" s="8"/>
      <c r="R134" s="8"/>
      <c r="S134" s="8">
        <v>1.1339999999999999</v>
      </c>
      <c r="T134" s="8">
        <f>1.197+0.268+0.45</f>
        <v>1.915</v>
      </c>
      <c r="U134" s="8"/>
      <c r="V134" s="8">
        <f t="shared" si="32"/>
        <v>1.7582269979852252</v>
      </c>
      <c r="W134" s="8"/>
      <c r="X134" s="8">
        <f>T134/S134</f>
        <v>1.6887125220458556</v>
      </c>
      <c r="Y134" s="31">
        <f t="shared" si="39"/>
        <v>-0.23640366768385662</v>
      </c>
      <c r="Z134" s="31">
        <f t="shared" si="40"/>
        <v>-0.23640366768385662</v>
      </c>
      <c r="AA134" s="31" t="str">
        <f t="shared" si="41"/>
        <v/>
      </c>
    </row>
    <row r="135" spans="1:27" x14ac:dyDescent="0.25">
      <c r="A135" s="6" t="str">
        <f t="shared" si="35"/>
        <v>fragment</v>
      </c>
      <c r="B135" s="6" t="s">
        <v>1198</v>
      </c>
      <c r="C135" s="6" t="str">
        <f t="shared" si="36"/>
        <v>FU7 436</v>
      </c>
      <c r="D135" s="6" t="s">
        <v>117</v>
      </c>
      <c r="E135" s="20">
        <v>436</v>
      </c>
      <c r="F135" s="6" t="s">
        <v>24</v>
      </c>
      <c r="G135" s="6" t="s">
        <v>145</v>
      </c>
      <c r="H135" s="6" t="s">
        <v>974</v>
      </c>
      <c r="I135" s="6" t="s">
        <v>5</v>
      </c>
      <c r="J135" s="29"/>
      <c r="K135" s="8" t="str">
        <f t="shared" si="37"/>
        <v/>
      </c>
      <c r="L135" s="8" t="str">
        <f t="shared" si="38"/>
        <v/>
      </c>
      <c r="M135" s="8"/>
      <c r="N135" s="8"/>
      <c r="O135" s="8">
        <v>2.9180000000000001</v>
      </c>
      <c r="P135" s="8">
        <f>0.652+1.506+1.885+0.527</f>
        <v>4.57</v>
      </c>
      <c r="Q135" s="8"/>
      <c r="R135" s="8"/>
      <c r="S135" s="8"/>
      <c r="T135" s="8"/>
      <c r="U135" s="8"/>
      <c r="V135" s="8">
        <f t="shared" si="32"/>
        <v>1.5661411925976696</v>
      </c>
      <c r="W135" s="8"/>
      <c r="X135" s="8"/>
      <c r="Y135" s="31">
        <f t="shared" si="39"/>
        <v>-0.19483091251241744</v>
      </c>
      <c r="Z135" s="31">
        <f t="shared" si="40"/>
        <v>-0.19483091251241744</v>
      </c>
      <c r="AA135" s="31" t="str">
        <f t="shared" si="41"/>
        <v/>
      </c>
    </row>
    <row r="136" spans="1:27" x14ac:dyDescent="0.25">
      <c r="A136" s="6" t="str">
        <f t="shared" si="35"/>
        <v>complete</v>
      </c>
      <c r="B136" s="6" t="s">
        <v>1198</v>
      </c>
      <c r="C136" s="6" t="str">
        <f t="shared" si="36"/>
        <v>FU7 441</v>
      </c>
      <c r="D136" s="6" t="s">
        <v>117</v>
      </c>
      <c r="E136" s="20">
        <v>441</v>
      </c>
      <c r="F136" s="6" t="s">
        <v>1</v>
      </c>
      <c r="G136" s="6" t="s">
        <v>124</v>
      </c>
      <c r="H136" s="6" t="s">
        <v>977</v>
      </c>
      <c r="I136" s="6" t="s">
        <v>5</v>
      </c>
      <c r="J136" s="29">
        <v>28.505400000000002</v>
      </c>
      <c r="K136" s="8">
        <f t="shared" si="37"/>
        <v>1.4549271395893673</v>
      </c>
      <c r="L136" s="8">
        <f t="shared" si="38"/>
        <v>7.9552637289990349</v>
      </c>
      <c r="M136" s="8"/>
      <c r="N136" s="8"/>
      <c r="O136" s="8">
        <v>0.66900000000000004</v>
      </c>
      <c r="P136" s="8">
        <f>0.631+0.59</f>
        <v>1.2210000000000001</v>
      </c>
      <c r="Q136" s="8">
        <v>0.32400000000000001</v>
      </c>
      <c r="R136" s="8">
        <f>0.305+0.312+0.305</f>
        <v>0.92199999999999993</v>
      </c>
      <c r="S136" s="8">
        <v>0.66500000000000004</v>
      </c>
      <c r="T136" s="8">
        <v>1.5780000000000001</v>
      </c>
      <c r="U136" s="8"/>
      <c r="V136" s="8">
        <f t="shared" si="32"/>
        <v>1.8251121076233183</v>
      </c>
      <c r="W136" s="8">
        <f>R136/Q136</f>
        <v>2.8456790123456788</v>
      </c>
      <c r="X136" s="8">
        <f t="shared" ref="X136:X143" si="42">T136/S136</f>
        <v>2.3729323308270676</v>
      </c>
      <c r="Y136" s="31">
        <f t="shared" si="39"/>
        <v>-0.37068104173075028</v>
      </c>
      <c r="Z136" s="31" t="str">
        <f t="shared" si="40"/>
        <v/>
      </c>
      <c r="AA136" s="31">
        <f t="shared" si="41"/>
        <v>-0.37068104173075028</v>
      </c>
    </row>
    <row r="137" spans="1:27" x14ac:dyDescent="0.25">
      <c r="A137" s="6" t="str">
        <f t="shared" si="35"/>
        <v>complete</v>
      </c>
      <c r="B137" s="6" t="s">
        <v>1198</v>
      </c>
      <c r="C137" s="6" t="str">
        <f t="shared" si="36"/>
        <v>FU7 441</v>
      </c>
      <c r="D137" s="6" t="s">
        <v>117</v>
      </c>
      <c r="E137" s="20">
        <v>441</v>
      </c>
      <c r="F137" s="6" t="s">
        <v>1</v>
      </c>
      <c r="G137" s="6" t="s">
        <v>128</v>
      </c>
      <c r="H137" s="6" t="s">
        <v>977</v>
      </c>
      <c r="I137" s="6" t="s">
        <v>5</v>
      </c>
      <c r="J137" s="29">
        <v>22.969639999999998</v>
      </c>
      <c r="K137" s="8">
        <f t="shared" si="37"/>
        <v>1.3611541886108436</v>
      </c>
      <c r="L137" s="8">
        <f t="shared" si="38"/>
        <v>7.7393435299498252</v>
      </c>
      <c r="M137" s="8"/>
      <c r="N137" s="8"/>
      <c r="O137" s="8">
        <v>2.5</v>
      </c>
      <c r="P137" s="8">
        <f>0.568+1.553+0.415+1.234+0.942+0.416</f>
        <v>5.1280000000000001</v>
      </c>
      <c r="Q137" s="8"/>
      <c r="R137" s="8"/>
      <c r="S137" s="8">
        <v>2.3719999999999999</v>
      </c>
      <c r="T137" s="8">
        <f>1.563+1.283+0.723</f>
        <v>3.569</v>
      </c>
      <c r="U137" s="8"/>
      <c r="V137" s="8">
        <f t="shared" si="32"/>
        <v>2.0512000000000001</v>
      </c>
      <c r="W137" s="8"/>
      <c r="X137" s="8">
        <f t="shared" si="42"/>
        <v>1.5046374367622259</v>
      </c>
      <c r="Y137" s="31">
        <f t="shared" si="39"/>
        <v>-0.24991190232291013</v>
      </c>
      <c r="Z137" s="31" t="str">
        <f t="shared" si="40"/>
        <v/>
      </c>
      <c r="AA137" s="31">
        <f t="shared" si="41"/>
        <v>-0.24991190232291013</v>
      </c>
    </row>
    <row r="138" spans="1:27" x14ac:dyDescent="0.25">
      <c r="A138" s="6" t="str">
        <f t="shared" si="35"/>
        <v>fragment</v>
      </c>
      <c r="B138" s="6" t="s">
        <v>1198</v>
      </c>
      <c r="C138" s="6" t="str">
        <f t="shared" si="36"/>
        <v>FU7 441</v>
      </c>
      <c r="D138" s="6" t="s">
        <v>117</v>
      </c>
      <c r="E138" s="20">
        <v>441</v>
      </c>
      <c r="F138" s="6" t="s">
        <v>1</v>
      </c>
      <c r="G138" s="6" t="s">
        <v>123</v>
      </c>
      <c r="H138" s="6" t="s">
        <v>977</v>
      </c>
      <c r="I138" s="6" t="s">
        <v>5</v>
      </c>
      <c r="J138" s="29"/>
      <c r="K138" s="8" t="str">
        <f t="shared" si="37"/>
        <v/>
      </c>
      <c r="L138" s="8" t="str">
        <f t="shared" si="38"/>
        <v/>
      </c>
      <c r="M138" s="8"/>
      <c r="N138" s="8"/>
      <c r="O138" s="8">
        <v>1.403</v>
      </c>
      <c r="P138" s="8">
        <f>1.395+0.686</f>
        <v>2.081</v>
      </c>
      <c r="Q138" s="8">
        <v>0.222</v>
      </c>
      <c r="R138" s="8">
        <f>0.278+0.255</f>
        <v>0.53300000000000003</v>
      </c>
      <c r="S138" s="8">
        <v>2.343</v>
      </c>
      <c r="T138" s="8">
        <f>2.055+0.726</f>
        <v>2.7810000000000001</v>
      </c>
      <c r="U138" s="8"/>
      <c r="V138" s="8">
        <f t="shared" si="32"/>
        <v>1.4832501781895937</v>
      </c>
      <c r="W138" s="8">
        <f>R138/Q138</f>
        <v>2.400900900900901</v>
      </c>
      <c r="X138" s="8">
        <f t="shared" si="42"/>
        <v>1.1869398207426378</v>
      </c>
      <c r="Y138" s="31">
        <f t="shared" si="39"/>
        <v>-0.22798014067185421</v>
      </c>
      <c r="Z138" s="31">
        <f t="shared" si="40"/>
        <v>-0.22798014067185421</v>
      </c>
      <c r="AA138" s="31" t="str">
        <f t="shared" si="41"/>
        <v/>
      </c>
    </row>
    <row r="139" spans="1:27" x14ac:dyDescent="0.25">
      <c r="A139" s="6" t="str">
        <f t="shared" si="35"/>
        <v>fragment</v>
      </c>
      <c r="B139" s="6" t="s">
        <v>1198</v>
      </c>
      <c r="C139" s="6" t="str">
        <f t="shared" si="36"/>
        <v>FU7 441</v>
      </c>
      <c r="D139" s="6" t="s">
        <v>117</v>
      </c>
      <c r="E139" s="20">
        <v>441</v>
      </c>
      <c r="F139" s="6" t="s">
        <v>1</v>
      </c>
      <c r="G139" s="6" t="s">
        <v>125</v>
      </c>
      <c r="H139" s="6" t="s">
        <v>977</v>
      </c>
      <c r="I139" s="6" t="s">
        <v>5</v>
      </c>
      <c r="J139" s="29"/>
      <c r="K139" s="8" t="str">
        <f t="shared" si="37"/>
        <v/>
      </c>
      <c r="L139" s="8" t="str">
        <f t="shared" si="38"/>
        <v/>
      </c>
      <c r="M139" s="8"/>
      <c r="N139" s="8"/>
      <c r="O139" s="8">
        <v>2.4220000000000002</v>
      </c>
      <c r="P139" s="8">
        <f>0.405+0.827+1.121+1.045+0.726</f>
        <v>4.1239999999999997</v>
      </c>
      <c r="Q139" s="8"/>
      <c r="R139" s="8"/>
      <c r="S139" s="8">
        <v>2.5739999999999998</v>
      </c>
      <c r="T139" s="8">
        <f>1.736+1.101</f>
        <v>2.8369999999999997</v>
      </c>
      <c r="U139" s="8"/>
      <c r="V139" s="8">
        <f t="shared" si="32"/>
        <v>1.7027250206440956</v>
      </c>
      <c r="W139" s="8"/>
      <c r="X139" s="8">
        <f t="shared" si="42"/>
        <v>1.1021756021756022</v>
      </c>
      <c r="Y139" s="31">
        <f t="shared" si="39"/>
        <v>-0.14688748321676201</v>
      </c>
      <c r="Z139" s="31">
        <f t="shared" si="40"/>
        <v>-0.14688748321676201</v>
      </c>
      <c r="AA139" s="31" t="str">
        <f t="shared" si="41"/>
        <v/>
      </c>
    </row>
    <row r="140" spans="1:27" x14ac:dyDescent="0.25">
      <c r="A140" s="6" t="str">
        <f t="shared" si="35"/>
        <v>fragment</v>
      </c>
      <c r="B140" s="6" t="s">
        <v>1198</v>
      </c>
      <c r="C140" s="6" t="str">
        <f t="shared" si="36"/>
        <v>FU7 441</v>
      </c>
      <c r="D140" s="6" t="s">
        <v>117</v>
      </c>
      <c r="E140" s="20">
        <v>441</v>
      </c>
      <c r="F140" s="6" t="s">
        <v>1</v>
      </c>
      <c r="G140" s="6" t="s">
        <v>126</v>
      </c>
      <c r="H140" s="6" t="s">
        <v>977</v>
      </c>
      <c r="I140" s="6" t="s">
        <v>5</v>
      </c>
      <c r="J140" s="29"/>
      <c r="K140" s="8" t="str">
        <f t="shared" si="37"/>
        <v/>
      </c>
      <c r="L140" s="8" t="str">
        <f t="shared" si="38"/>
        <v/>
      </c>
      <c r="M140" s="8"/>
      <c r="N140" s="8"/>
      <c r="O140" s="8">
        <v>2.7629999999999999</v>
      </c>
      <c r="P140" s="8">
        <f>1.281+1.229</f>
        <v>2.5099999999999998</v>
      </c>
      <c r="Q140" s="8">
        <v>0.33700000000000002</v>
      </c>
      <c r="R140" s="8">
        <f>0.371+0.382</f>
        <v>0.753</v>
      </c>
      <c r="S140" s="8">
        <v>2.746</v>
      </c>
      <c r="T140" s="8">
        <f>0.813+1.306+1.316</f>
        <v>3.4349999999999996</v>
      </c>
      <c r="U140" s="8"/>
      <c r="V140" s="8">
        <f t="shared" si="32"/>
        <v>0.90843286283025693</v>
      </c>
      <c r="W140" s="8">
        <f>R140/Q140</f>
        <v>2.2344213649851632</v>
      </c>
      <c r="X140" s="8">
        <f t="shared" si="42"/>
        <v>1.250910415149308</v>
      </c>
      <c r="Y140" s="31">
        <f t="shared" si="39"/>
        <v>-0.16571553500655434</v>
      </c>
      <c r="Z140" s="31">
        <f t="shared" si="40"/>
        <v>-0.16571553500655434</v>
      </c>
      <c r="AA140" s="31" t="str">
        <f t="shared" si="41"/>
        <v/>
      </c>
    </row>
    <row r="141" spans="1:27" x14ac:dyDescent="0.25">
      <c r="A141" s="6" t="str">
        <f t="shared" si="35"/>
        <v>fragment</v>
      </c>
      <c r="B141" s="6" t="s">
        <v>1198</v>
      </c>
      <c r="C141" s="6" t="str">
        <f t="shared" si="36"/>
        <v>FU7 441</v>
      </c>
      <c r="D141" s="6" t="s">
        <v>117</v>
      </c>
      <c r="E141" s="20">
        <v>441</v>
      </c>
      <c r="F141" s="6" t="s">
        <v>1</v>
      </c>
      <c r="G141" s="6" t="s">
        <v>127</v>
      </c>
      <c r="H141" s="6" t="s">
        <v>977</v>
      </c>
      <c r="I141" s="6" t="s">
        <v>5</v>
      </c>
      <c r="J141" s="29"/>
      <c r="K141" s="8" t="str">
        <f t="shared" si="37"/>
        <v/>
      </c>
      <c r="L141" s="8" t="str">
        <f t="shared" si="38"/>
        <v/>
      </c>
      <c r="M141" s="8"/>
      <c r="N141" s="8"/>
      <c r="O141" s="8">
        <v>1.27</v>
      </c>
      <c r="P141" s="8">
        <f>0.79+0.955</f>
        <v>1.7450000000000001</v>
      </c>
      <c r="Q141" s="8">
        <v>0.63300000000000001</v>
      </c>
      <c r="R141" s="8">
        <f>0.441+0.451</f>
        <v>0.89200000000000002</v>
      </c>
      <c r="S141" s="8">
        <v>4.24</v>
      </c>
      <c r="T141" s="8">
        <f>1.04+2.76+0.825</f>
        <v>4.625</v>
      </c>
      <c r="U141" s="8"/>
      <c r="V141" s="8">
        <f t="shared" si="32"/>
        <v>1.3740157480314961</v>
      </c>
      <c r="W141" s="8">
        <f>R141/Q141</f>
        <v>1.4091627172195893</v>
      </c>
      <c r="X141" s="8">
        <f t="shared" si="42"/>
        <v>1.0908018867924527</v>
      </c>
      <c r="Y141" s="31">
        <f t="shared" si="39"/>
        <v>-0.11103615902514588</v>
      </c>
      <c r="Z141" s="31">
        <f t="shared" si="40"/>
        <v>-0.11103615902514588</v>
      </c>
      <c r="AA141" s="31" t="str">
        <f t="shared" si="41"/>
        <v/>
      </c>
    </row>
    <row r="142" spans="1:27" x14ac:dyDescent="0.25">
      <c r="A142" s="6" t="str">
        <f t="shared" si="35"/>
        <v>fragment</v>
      </c>
      <c r="B142" s="6" t="s">
        <v>1198</v>
      </c>
      <c r="C142" s="6" t="str">
        <f t="shared" si="36"/>
        <v>FU7 441</v>
      </c>
      <c r="D142" s="6" t="s">
        <v>117</v>
      </c>
      <c r="E142" s="20">
        <v>441</v>
      </c>
      <c r="F142" s="6" t="s">
        <v>1</v>
      </c>
      <c r="G142" s="6" t="s">
        <v>129</v>
      </c>
      <c r="H142" s="6" t="s">
        <v>977</v>
      </c>
      <c r="I142" s="6" t="s">
        <v>5</v>
      </c>
      <c r="J142" s="29"/>
      <c r="K142" s="8" t="str">
        <f t="shared" si="37"/>
        <v/>
      </c>
      <c r="L142" s="8" t="str">
        <f t="shared" si="38"/>
        <v/>
      </c>
      <c r="M142" s="8"/>
      <c r="N142" s="8"/>
      <c r="O142" s="8">
        <v>1.159</v>
      </c>
      <c r="P142" s="8">
        <f>0.461+0.841+0.633</f>
        <v>1.9350000000000001</v>
      </c>
      <c r="Q142" s="8"/>
      <c r="R142" s="8"/>
      <c r="S142" s="8">
        <v>1.772</v>
      </c>
      <c r="T142" s="8">
        <f>0.876+1.622</f>
        <v>2.4980000000000002</v>
      </c>
      <c r="U142" s="8"/>
      <c r="V142" s="8">
        <f t="shared" si="32"/>
        <v>1.6695427092320967</v>
      </c>
      <c r="W142" s="8"/>
      <c r="X142" s="8">
        <f t="shared" si="42"/>
        <v>1.409706546275395</v>
      </c>
      <c r="Y142" s="31">
        <f t="shared" si="39"/>
        <v>-0.18741484942957404</v>
      </c>
      <c r="Z142" s="31">
        <f t="shared" si="40"/>
        <v>-0.18741484942957404</v>
      </c>
      <c r="AA142" s="31" t="str">
        <f t="shared" si="41"/>
        <v/>
      </c>
    </row>
    <row r="143" spans="1:27" x14ac:dyDescent="0.25">
      <c r="A143" s="6" t="str">
        <f t="shared" si="35"/>
        <v>fragment</v>
      </c>
      <c r="B143" s="6" t="s">
        <v>1198</v>
      </c>
      <c r="C143" s="6" t="str">
        <f t="shared" si="36"/>
        <v>FU7 441</v>
      </c>
      <c r="D143" s="6" t="s">
        <v>117</v>
      </c>
      <c r="E143" s="20">
        <v>441</v>
      </c>
      <c r="F143" s="6" t="s">
        <v>1</v>
      </c>
      <c r="G143" s="6" t="s">
        <v>130</v>
      </c>
      <c r="H143" s="6" t="s">
        <v>977</v>
      </c>
      <c r="I143" s="6" t="s">
        <v>5</v>
      </c>
      <c r="J143" s="29"/>
      <c r="K143" s="8" t="str">
        <f t="shared" si="37"/>
        <v/>
      </c>
      <c r="L143" s="8" t="str">
        <f t="shared" si="38"/>
        <v/>
      </c>
      <c r="M143" s="8">
        <v>1.0509999999999999</v>
      </c>
      <c r="N143" s="8">
        <v>1.76</v>
      </c>
      <c r="O143" s="8"/>
      <c r="P143" s="8"/>
      <c r="Q143" s="8"/>
      <c r="R143" s="8"/>
      <c r="S143" s="8">
        <v>0.82</v>
      </c>
      <c r="T143" s="8">
        <f>0.642+1.018</f>
        <v>1.6600000000000001</v>
      </c>
      <c r="U143" s="8">
        <f>N143/M143</f>
        <v>1.6745956232159849</v>
      </c>
      <c r="V143" s="8"/>
      <c r="W143" s="8"/>
      <c r="X143" s="8">
        <f t="shared" si="42"/>
        <v>2.0243902439024395</v>
      </c>
      <c r="Y143" s="31">
        <f t="shared" si="39"/>
        <v>-0.26705267632613389</v>
      </c>
      <c r="Z143" s="31">
        <f t="shared" si="40"/>
        <v>-0.26705267632613389</v>
      </c>
      <c r="AA143" s="31" t="str">
        <f t="shared" si="41"/>
        <v/>
      </c>
    </row>
    <row r="144" spans="1:27" x14ac:dyDescent="0.25">
      <c r="A144" s="6" t="str">
        <f t="shared" si="35"/>
        <v>fragment</v>
      </c>
      <c r="B144" s="6" t="s">
        <v>1198</v>
      </c>
      <c r="C144" s="6" t="str">
        <f t="shared" si="36"/>
        <v>FU7 441</v>
      </c>
      <c r="D144" s="6" t="s">
        <v>117</v>
      </c>
      <c r="E144" s="20">
        <v>441</v>
      </c>
      <c r="F144" s="6" t="s">
        <v>1</v>
      </c>
      <c r="G144" s="6" t="s">
        <v>131</v>
      </c>
      <c r="H144" s="6" t="s">
        <v>977</v>
      </c>
      <c r="I144" s="6" t="s">
        <v>5</v>
      </c>
      <c r="J144" s="29"/>
      <c r="K144" s="8" t="str">
        <f t="shared" si="37"/>
        <v/>
      </c>
      <c r="L144" s="8" t="str">
        <f t="shared" si="38"/>
        <v/>
      </c>
      <c r="M144" s="8"/>
      <c r="N144" s="8"/>
      <c r="O144" s="8">
        <v>1.1779999999999999</v>
      </c>
      <c r="P144" s="8">
        <f>0.387+0.047+0.903+0.672+0.393</f>
        <v>2.4020000000000001</v>
      </c>
      <c r="Q144" s="8"/>
      <c r="R144" s="8"/>
      <c r="S144" s="8"/>
      <c r="T144" s="8"/>
      <c r="U144" s="8"/>
      <c r="V144" s="8">
        <f t="shared" ref="V144:V153" si="43">P144/O144</f>
        <v>2.0390492359932089</v>
      </c>
      <c r="W144" s="8"/>
      <c r="X144" s="8"/>
      <c r="Y144" s="31">
        <f t="shared" si="39"/>
        <v>-0.30942771261580443</v>
      </c>
      <c r="Z144" s="31">
        <f t="shared" si="40"/>
        <v>-0.30942771261580443</v>
      </c>
      <c r="AA144" s="31" t="str">
        <f t="shared" si="41"/>
        <v/>
      </c>
    </row>
    <row r="145" spans="1:27" x14ac:dyDescent="0.25">
      <c r="A145" s="6" t="str">
        <f t="shared" si="35"/>
        <v>fragment</v>
      </c>
      <c r="B145" s="6" t="s">
        <v>1198</v>
      </c>
      <c r="C145" s="6" t="str">
        <f t="shared" si="36"/>
        <v>FU7 441</v>
      </c>
      <c r="D145" s="6" t="s">
        <v>117</v>
      </c>
      <c r="E145" s="20">
        <v>441</v>
      </c>
      <c r="F145" s="6" t="s">
        <v>1</v>
      </c>
      <c r="G145" s="6" t="s">
        <v>132</v>
      </c>
      <c r="H145" s="6" t="s">
        <v>977</v>
      </c>
      <c r="I145" s="6" t="s">
        <v>5</v>
      </c>
      <c r="J145" s="29"/>
      <c r="K145" s="8" t="str">
        <f t="shared" si="37"/>
        <v/>
      </c>
      <c r="L145" s="8" t="str">
        <f t="shared" si="38"/>
        <v/>
      </c>
      <c r="M145" s="8"/>
      <c r="N145" s="8"/>
      <c r="O145" s="8">
        <v>0.80300000000000005</v>
      </c>
      <c r="P145" s="8">
        <f>0.751+0.434</f>
        <v>1.1850000000000001</v>
      </c>
      <c r="Q145" s="8">
        <v>1</v>
      </c>
      <c r="R145" s="8">
        <f>0.709+0.219+0.653+0.631</f>
        <v>2.2119999999999997</v>
      </c>
      <c r="S145" s="8"/>
      <c r="T145" s="8"/>
      <c r="U145" s="8"/>
      <c r="V145" s="8">
        <f t="shared" si="43"/>
        <v>1.4757160647571606</v>
      </c>
      <c r="W145" s="8">
        <f>R145/Q145</f>
        <v>2.2119999999999997</v>
      </c>
      <c r="X145" s="8"/>
      <c r="Y145" s="31">
        <f t="shared" si="39"/>
        <v>-0.26572747955485604</v>
      </c>
      <c r="Z145" s="31">
        <f t="shared" si="40"/>
        <v>-0.26572747955485604</v>
      </c>
      <c r="AA145" s="31" t="str">
        <f t="shared" si="41"/>
        <v/>
      </c>
    </row>
    <row r="146" spans="1:27" x14ac:dyDescent="0.25">
      <c r="A146" s="6" t="str">
        <f t="shared" si="35"/>
        <v>fragment</v>
      </c>
      <c r="B146" s="6" t="s">
        <v>1198</v>
      </c>
      <c r="C146" s="6" t="str">
        <f t="shared" si="36"/>
        <v>FU7 441</v>
      </c>
      <c r="D146" s="6" t="s">
        <v>117</v>
      </c>
      <c r="E146" s="20">
        <v>441</v>
      </c>
      <c r="F146" s="6" t="s">
        <v>1</v>
      </c>
      <c r="G146" s="6" t="s">
        <v>133</v>
      </c>
      <c r="H146" s="6" t="s">
        <v>977</v>
      </c>
      <c r="I146" s="6" t="s">
        <v>5</v>
      </c>
      <c r="J146" s="29"/>
      <c r="K146" s="8" t="str">
        <f t="shared" si="37"/>
        <v/>
      </c>
      <c r="L146" s="8" t="str">
        <f t="shared" si="38"/>
        <v/>
      </c>
      <c r="M146" s="8"/>
      <c r="N146" s="8"/>
      <c r="O146" s="8">
        <v>2.327</v>
      </c>
      <c r="P146" s="8">
        <f>0.676+2.06+0.162+1.34+0.578</f>
        <v>4.8160000000000007</v>
      </c>
      <c r="Q146" s="8"/>
      <c r="R146" s="8"/>
      <c r="S146" s="8"/>
      <c r="T146" s="8"/>
      <c r="U146" s="8"/>
      <c r="V146" s="8">
        <f t="shared" si="43"/>
        <v>2.0696175333046845</v>
      </c>
      <c r="W146" s="8"/>
      <c r="X146" s="8"/>
      <c r="Y146" s="31">
        <f t="shared" si="39"/>
        <v>-0.31589009496303827</v>
      </c>
      <c r="Z146" s="31">
        <f t="shared" si="40"/>
        <v>-0.31589009496303827</v>
      </c>
      <c r="AA146" s="31" t="str">
        <f t="shared" si="41"/>
        <v/>
      </c>
    </row>
    <row r="147" spans="1:27" x14ac:dyDescent="0.25">
      <c r="A147" s="6" t="str">
        <f t="shared" si="35"/>
        <v>fragment</v>
      </c>
      <c r="B147" s="6" t="s">
        <v>1198</v>
      </c>
      <c r="C147" s="6" t="str">
        <f t="shared" si="36"/>
        <v>FU7 441</v>
      </c>
      <c r="D147" s="6" t="s">
        <v>117</v>
      </c>
      <c r="E147" s="20">
        <v>441</v>
      </c>
      <c r="F147" s="6" t="s">
        <v>1</v>
      </c>
      <c r="G147" s="6" t="s">
        <v>134</v>
      </c>
      <c r="H147" s="6" t="s">
        <v>977</v>
      </c>
      <c r="I147" s="6" t="s">
        <v>5</v>
      </c>
      <c r="J147" s="29"/>
      <c r="K147" s="8" t="str">
        <f t="shared" si="37"/>
        <v/>
      </c>
      <c r="L147" s="8" t="str">
        <f t="shared" si="38"/>
        <v/>
      </c>
      <c r="M147" s="8"/>
      <c r="N147" s="8"/>
      <c r="O147" s="8">
        <v>2.0640000000000001</v>
      </c>
      <c r="P147" s="8">
        <f>0.932+1.318+1.002+0.578</f>
        <v>3.8299999999999996</v>
      </c>
      <c r="Q147" s="8"/>
      <c r="R147" s="8"/>
      <c r="S147" s="8"/>
      <c r="T147" s="8"/>
      <c r="U147" s="8"/>
      <c r="V147" s="8">
        <f t="shared" si="43"/>
        <v>1.8556201550387594</v>
      </c>
      <c r="W147" s="8"/>
      <c r="X147" s="8"/>
      <c r="Y147" s="31">
        <f t="shared" si="39"/>
        <v>-0.26848908101344893</v>
      </c>
      <c r="Z147" s="31">
        <f t="shared" si="40"/>
        <v>-0.26848908101344893</v>
      </c>
      <c r="AA147" s="31" t="str">
        <f t="shared" si="41"/>
        <v/>
      </c>
    </row>
    <row r="148" spans="1:27" x14ac:dyDescent="0.25">
      <c r="A148" s="6" t="str">
        <f t="shared" si="35"/>
        <v>fragment</v>
      </c>
      <c r="B148" s="6" t="s">
        <v>1198</v>
      </c>
      <c r="C148" s="6" t="str">
        <f t="shared" si="36"/>
        <v>FU7 562</v>
      </c>
      <c r="D148" s="6" t="s">
        <v>117</v>
      </c>
      <c r="E148" s="20">
        <v>562</v>
      </c>
      <c r="F148" s="6" t="s">
        <v>13</v>
      </c>
      <c r="G148" s="6" t="s">
        <v>135</v>
      </c>
      <c r="H148" s="6" t="s">
        <v>976</v>
      </c>
      <c r="I148" s="6" t="s">
        <v>5</v>
      </c>
      <c r="J148" s="29"/>
      <c r="K148" s="8" t="str">
        <f t="shared" si="37"/>
        <v/>
      </c>
      <c r="L148" s="8" t="str">
        <f t="shared" si="38"/>
        <v/>
      </c>
      <c r="M148" s="8"/>
      <c r="N148" s="8"/>
      <c r="O148" s="8">
        <v>0.20399999999999999</v>
      </c>
      <c r="P148" s="8">
        <f>0.28+0.428</f>
        <v>0.70799999999999996</v>
      </c>
      <c r="Q148" s="8"/>
      <c r="R148" s="8"/>
      <c r="S148" s="8">
        <v>0.36899999999999999</v>
      </c>
      <c r="T148" s="8">
        <f>0.23+0.67</f>
        <v>0.9</v>
      </c>
      <c r="U148" s="8"/>
      <c r="V148" s="8">
        <f t="shared" si="43"/>
        <v>3.4705882352941178</v>
      </c>
      <c r="W148" s="8"/>
      <c r="X148" s="8">
        <f>T148/S148</f>
        <v>2.4390243902439024</v>
      </c>
      <c r="Y148" s="31">
        <f t="shared" si="39"/>
        <v>-0.47052901819442694</v>
      </c>
      <c r="Z148" s="31">
        <f t="shared" si="40"/>
        <v>-0.47052901819442694</v>
      </c>
      <c r="AA148" s="31" t="str">
        <f t="shared" si="41"/>
        <v/>
      </c>
    </row>
    <row r="149" spans="1:27" x14ac:dyDescent="0.25">
      <c r="A149" s="6" t="str">
        <f t="shared" si="35"/>
        <v>complete</v>
      </c>
      <c r="B149" s="6" t="s">
        <v>156</v>
      </c>
      <c r="C149" s="6" t="str">
        <f t="shared" si="36"/>
        <v>HC1 2099</v>
      </c>
      <c r="D149" s="6" t="s">
        <v>155</v>
      </c>
      <c r="E149" s="20">
        <v>2099</v>
      </c>
      <c r="G149" s="6" t="s">
        <v>168</v>
      </c>
      <c r="H149" s="6" t="s">
        <v>977</v>
      </c>
      <c r="I149" s="8" t="s">
        <v>5</v>
      </c>
      <c r="J149" s="29">
        <v>12.218450000000001</v>
      </c>
      <c r="K149" s="8">
        <f t="shared" si="37"/>
        <v>1.0870161159603358</v>
      </c>
      <c r="L149" s="8">
        <f t="shared" si="38"/>
        <v>7.1081172904426468</v>
      </c>
      <c r="M149" s="8"/>
      <c r="N149" s="8"/>
      <c r="O149" s="8">
        <v>1.7090000000000001</v>
      </c>
      <c r="P149" s="8">
        <f>1.172+1.354</f>
        <v>2.5259999999999998</v>
      </c>
      <c r="Q149" s="8"/>
      <c r="R149" s="8"/>
      <c r="S149" s="8">
        <v>2.12</v>
      </c>
      <c r="T149" s="8">
        <f>1.061+1.783</f>
        <v>2.8439999999999999</v>
      </c>
      <c r="U149" s="8"/>
      <c r="V149" s="8">
        <f t="shared" si="43"/>
        <v>1.4780573434757167</v>
      </c>
      <c r="W149" s="8"/>
      <c r="X149" s="8">
        <f>T149/S149</f>
        <v>1.341509433962264</v>
      </c>
      <c r="Y149" s="31">
        <f t="shared" si="39"/>
        <v>-0.14915238903070582</v>
      </c>
      <c r="Z149" s="31" t="str">
        <f t="shared" si="40"/>
        <v/>
      </c>
      <c r="AA149" s="31">
        <f t="shared" si="41"/>
        <v>-0.14915238903070582</v>
      </c>
    </row>
    <row r="150" spans="1:27" x14ac:dyDescent="0.25">
      <c r="A150" s="6" t="str">
        <f t="shared" si="35"/>
        <v>complete</v>
      </c>
      <c r="B150" s="6" t="s">
        <v>156</v>
      </c>
      <c r="C150" s="6" t="str">
        <f t="shared" si="36"/>
        <v>HC1 428</v>
      </c>
      <c r="D150" s="6" t="s">
        <v>155</v>
      </c>
      <c r="E150" s="20">
        <v>428</v>
      </c>
      <c r="F150" s="6" t="s">
        <v>154</v>
      </c>
      <c r="G150" s="6" t="s">
        <v>157</v>
      </c>
      <c r="H150" s="6" t="s">
        <v>979</v>
      </c>
      <c r="I150" s="6" t="s">
        <v>5</v>
      </c>
      <c r="J150" s="29">
        <v>18.271999999999998</v>
      </c>
      <c r="K150" s="8">
        <f t="shared" si="37"/>
        <v>1.261786086565754</v>
      </c>
      <c r="L150" s="8">
        <f t="shared" si="38"/>
        <v>7.5105400194616907</v>
      </c>
      <c r="M150" s="8"/>
      <c r="N150" s="8"/>
      <c r="O150" s="8">
        <v>2.6760000000000002</v>
      </c>
      <c r="P150" s="8">
        <f>1.691+1.361+0.488</f>
        <v>3.54</v>
      </c>
      <c r="Q150" s="8"/>
      <c r="R150" s="8"/>
      <c r="S150" s="8">
        <v>3.3690000000000002</v>
      </c>
      <c r="T150" s="8">
        <f>2.173+1.423</f>
        <v>3.5960000000000001</v>
      </c>
      <c r="U150" s="8"/>
      <c r="V150" s="8">
        <f t="shared" si="43"/>
        <v>1.3228699551569507</v>
      </c>
      <c r="W150" s="8"/>
      <c r="X150" s="8">
        <f>T150/S150</f>
        <v>1.0673790442267734</v>
      </c>
      <c r="Y150" s="31">
        <f t="shared" si="39"/>
        <v>-7.7413149395273023E-2</v>
      </c>
      <c r="Z150" s="31" t="str">
        <f t="shared" si="40"/>
        <v/>
      </c>
      <c r="AA150" s="31">
        <f t="shared" si="41"/>
        <v>-7.7413149395273023E-2</v>
      </c>
    </row>
    <row r="151" spans="1:27" x14ac:dyDescent="0.25">
      <c r="A151" s="6" t="str">
        <f t="shared" si="35"/>
        <v>complete</v>
      </c>
      <c r="B151" s="6" t="s">
        <v>156</v>
      </c>
      <c r="C151" s="6" t="str">
        <f t="shared" si="36"/>
        <v>HC1 428</v>
      </c>
      <c r="D151" s="6" t="s">
        <v>155</v>
      </c>
      <c r="E151" s="20">
        <v>428</v>
      </c>
      <c r="F151" s="6" t="s">
        <v>154</v>
      </c>
      <c r="G151" s="6" t="s">
        <v>158</v>
      </c>
      <c r="H151" s="6" t="s">
        <v>979</v>
      </c>
      <c r="I151" s="6" t="s">
        <v>5</v>
      </c>
      <c r="J151" s="29">
        <v>11.28</v>
      </c>
      <c r="K151" s="8">
        <f t="shared" si="37"/>
        <v>1.0523090996473234</v>
      </c>
      <c r="L151" s="8">
        <f t="shared" si="38"/>
        <v>7.0282014320580046</v>
      </c>
      <c r="M151" s="8">
        <v>0.79400000000000004</v>
      </c>
      <c r="N151" s="8">
        <v>1.597</v>
      </c>
      <c r="O151" s="8">
        <v>0.32900000000000001</v>
      </c>
      <c r="P151" s="8">
        <f>0.326+0.371</f>
        <v>0.69700000000000006</v>
      </c>
      <c r="Q151" s="8"/>
      <c r="R151" s="8"/>
      <c r="S151" s="8">
        <v>0.52700000000000002</v>
      </c>
      <c r="T151" s="8">
        <v>0.81600000000000006</v>
      </c>
      <c r="U151" s="8">
        <f>N151/M151</f>
        <v>2.0113350125944582</v>
      </c>
      <c r="V151" s="8">
        <f t="shared" si="43"/>
        <v>2.1185410334346506</v>
      </c>
      <c r="W151" s="8"/>
      <c r="X151" s="8">
        <f>T151/S151</f>
        <v>1.5483870967741935</v>
      </c>
      <c r="Y151" s="31">
        <f t="shared" si="39"/>
        <v>-0.27709426006745713</v>
      </c>
      <c r="Z151" s="31" t="str">
        <f t="shared" si="40"/>
        <v/>
      </c>
      <c r="AA151" s="31">
        <f t="shared" si="41"/>
        <v>-0.27709426006745713</v>
      </c>
    </row>
    <row r="152" spans="1:27" x14ac:dyDescent="0.25">
      <c r="A152" s="6" t="str">
        <f t="shared" si="35"/>
        <v>complete</v>
      </c>
      <c r="B152" s="6" t="s">
        <v>156</v>
      </c>
      <c r="C152" s="6" t="str">
        <f t="shared" si="36"/>
        <v>HC1 428</v>
      </c>
      <c r="D152" s="6" t="s">
        <v>155</v>
      </c>
      <c r="E152" s="20">
        <v>428</v>
      </c>
      <c r="F152" s="6" t="s">
        <v>154</v>
      </c>
      <c r="G152" s="6" t="s">
        <v>159</v>
      </c>
      <c r="H152" s="6" t="s">
        <v>979</v>
      </c>
      <c r="I152" s="6" t="s">
        <v>5</v>
      </c>
      <c r="J152" s="29">
        <f>6.679*2</f>
        <v>13.358000000000001</v>
      </c>
      <c r="K152" s="8">
        <f t="shared" si="37"/>
        <v>1.1257414391287155</v>
      </c>
      <c r="L152" s="8">
        <f t="shared" si="38"/>
        <v>7.1972856422915354</v>
      </c>
      <c r="M152" s="8">
        <v>0.72199999999999998</v>
      </c>
      <c r="N152" s="8">
        <f>0.285+0.776</f>
        <v>1.0609999999999999</v>
      </c>
      <c r="O152" s="8">
        <v>2.9450000000000003</v>
      </c>
      <c r="P152" s="8">
        <f>1.097+2.234+1.008</f>
        <v>4.3390000000000004</v>
      </c>
      <c r="Q152" s="8">
        <v>1.024</v>
      </c>
      <c r="R152" s="8">
        <f>0.888+0.807</f>
        <v>1.6950000000000001</v>
      </c>
      <c r="S152" s="8"/>
      <c r="T152" s="8"/>
      <c r="U152" s="8">
        <f>N152/M152</f>
        <v>1.4695290858725762</v>
      </c>
      <c r="V152" s="8">
        <f t="shared" si="43"/>
        <v>1.4733446519524618</v>
      </c>
      <c r="W152" s="8">
        <f>R152/Q152</f>
        <v>1.6552734375</v>
      </c>
      <c r="X152" s="8"/>
      <c r="Y152" s="31">
        <f t="shared" si="39"/>
        <v>-0.18546161312891013</v>
      </c>
      <c r="Z152" s="31" t="str">
        <f t="shared" si="40"/>
        <v/>
      </c>
      <c r="AA152" s="31">
        <f t="shared" si="41"/>
        <v>-0.18546161312891013</v>
      </c>
    </row>
    <row r="153" spans="1:27" x14ac:dyDescent="0.25">
      <c r="A153" s="6" t="str">
        <f t="shared" si="35"/>
        <v>complete</v>
      </c>
      <c r="B153" s="6" t="s">
        <v>156</v>
      </c>
      <c r="C153" s="6" t="str">
        <f t="shared" si="36"/>
        <v>HC1 428</v>
      </c>
      <c r="D153" s="6" t="s">
        <v>155</v>
      </c>
      <c r="E153" s="20">
        <v>428</v>
      </c>
      <c r="F153" s="6" t="s">
        <v>154</v>
      </c>
      <c r="G153" s="6" t="s">
        <v>160</v>
      </c>
      <c r="H153" s="6" t="s">
        <v>979</v>
      </c>
      <c r="I153" s="6" t="s">
        <v>5</v>
      </c>
      <c r="J153" s="29">
        <f>14.856*2</f>
        <v>29.712</v>
      </c>
      <c r="K153" s="8">
        <f t="shared" si="37"/>
        <v>1.4729318863957053</v>
      </c>
      <c r="L153" s="8">
        <f t="shared" si="38"/>
        <v>7.996721190598441</v>
      </c>
      <c r="M153" s="8"/>
      <c r="N153" s="8"/>
      <c r="O153" s="8">
        <v>2.347</v>
      </c>
      <c r="P153" s="8">
        <f>1.374+0.62</f>
        <v>1.9940000000000002</v>
      </c>
      <c r="Q153" s="8">
        <v>0.73399999999999999</v>
      </c>
      <c r="R153" s="8">
        <f>0.56+0.516</f>
        <v>1.0760000000000001</v>
      </c>
      <c r="S153" s="8"/>
      <c r="T153" s="8"/>
      <c r="U153" s="8"/>
      <c r="V153" s="8">
        <f t="shared" si="43"/>
        <v>0.84959522795057529</v>
      </c>
      <c r="W153" s="8">
        <f>R153/Q153</f>
        <v>1.4659400544959129</v>
      </c>
      <c r="X153" s="8"/>
      <c r="Y153" s="31">
        <f t="shared" si="39"/>
        <v>-6.3621407180539907E-2</v>
      </c>
      <c r="Z153" s="31" t="str">
        <f t="shared" si="40"/>
        <v/>
      </c>
      <c r="AA153" s="31">
        <f t="shared" si="41"/>
        <v>-6.3621407180539907E-2</v>
      </c>
    </row>
    <row r="154" spans="1:27" x14ac:dyDescent="0.25">
      <c r="A154" s="6" t="str">
        <f t="shared" si="35"/>
        <v>complete</v>
      </c>
      <c r="B154" s="6" t="s">
        <v>156</v>
      </c>
      <c r="C154" s="6" t="str">
        <f t="shared" si="36"/>
        <v>HC1 439</v>
      </c>
      <c r="D154" s="6" t="s">
        <v>155</v>
      </c>
      <c r="E154" s="20">
        <v>439</v>
      </c>
      <c r="G154" s="6" t="s">
        <v>166</v>
      </c>
      <c r="H154" s="6" t="s">
        <v>977</v>
      </c>
      <c r="I154" s="6" t="s">
        <v>5</v>
      </c>
      <c r="J154" s="29">
        <v>7.383</v>
      </c>
      <c r="K154" s="8">
        <f t="shared" si="37"/>
        <v>0.86823286842246494</v>
      </c>
      <c r="L154" s="8">
        <f t="shared" si="38"/>
        <v>6.6043502460651196</v>
      </c>
      <c r="M154" s="8"/>
      <c r="N154" s="8"/>
      <c r="O154" s="8"/>
      <c r="P154" s="8"/>
      <c r="Q154" s="8"/>
      <c r="R154" s="8"/>
      <c r="S154" s="8">
        <v>1.6739999999999999</v>
      </c>
      <c r="T154" s="8">
        <f>0.963+2.113+0.442</f>
        <v>3.5180000000000002</v>
      </c>
      <c r="U154" s="8"/>
      <c r="V154" s="8"/>
      <c r="W154" s="8"/>
      <c r="X154" s="8">
        <f t="shared" ref="X154:X161" si="44">T154/S154</f>
        <v>2.1015531660692952</v>
      </c>
      <c r="Y154" s="31">
        <f t="shared" si="39"/>
        <v>-0.32254038146420128</v>
      </c>
      <c r="Z154" s="31" t="str">
        <f t="shared" si="40"/>
        <v/>
      </c>
      <c r="AA154" s="31">
        <f t="shared" si="41"/>
        <v>-0.32254038146420128</v>
      </c>
    </row>
    <row r="155" spans="1:27" x14ac:dyDescent="0.25">
      <c r="A155" s="6" t="str">
        <f t="shared" si="35"/>
        <v>fragment</v>
      </c>
      <c r="B155" s="6" t="s">
        <v>156</v>
      </c>
      <c r="C155" s="6" t="str">
        <f t="shared" si="36"/>
        <v>HC1 517</v>
      </c>
      <c r="D155" s="6" t="s">
        <v>155</v>
      </c>
      <c r="E155" s="20">
        <v>517</v>
      </c>
      <c r="F155" s="6" t="s">
        <v>161</v>
      </c>
      <c r="G155" s="6" t="s">
        <v>162</v>
      </c>
      <c r="H155" s="6" t="s">
        <v>977</v>
      </c>
      <c r="I155" s="6" t="s">
        <v>5</v>
      </c>
      <c r="J155" s="29"/>
      <c r="K155" s="8" t="str">
        <f t="shared" si="37"/>
        <v/>
      </c>
      <c r="L155" s="8" t="str">
        <f t="shared" si="38"/>
        <v/>
      </c>
      <c r="M155" s="8">
        <v>0.73499999999999999</v>
      </c>
      <c r="N155" s="8">
        <v>1.319</v>
      </c>
      <c r="O155" s="8">
        <v>0.79700000000000004</v>
      </c>
      <c r="P155" s="8">
        <v>0.93700000000000006</v>
      </c>
      <c r="Q155" s="8">
        <v>0.42399999999999999</v>
      </c>
      <c r="R155" s="8">
        <v>0.48299999999999998</v>
      </c>
      <c r="S155" s="8">
        <v>1.8</v>
      </c>
      <c r="T155" s="8">
        <v>1.853</v>
      </c>
      <c r="U155" s="8">
        <f>N155/M155</f>
        <v>1.7945578231292516</v>
      </c>
      <c r="V155" s="8">
        <f t="shared" ref="V155:V160" si="45">P155/O155</f>
        <v>1.1756587202007529</v>
      </c>
      <c r="W155" s="8">
        <f>R155/Q155</f>
        <v>1.1391509433962264</v>
      </c>
      <c r="X155" s="8">
        <f t="shared" si="44"/>
        <v>1.0294444444444444</v>
      </c>
      <c r="Y155" s="31">
        <f t="shared" si="39"/>
        <v>-0.10880273245774062</v>
      </c>
      <c r="Z155" s="31">
        <f t="shared" si="40"/>
        <v>-0.10880273245774062</v>
      </c>
      <c r="AA155" s="31" t="str">
        <f t="shared" si="41"/>
        <v/>
      </c>
    </row>
    <row r="156" spans="1:27" x14ac:dyDescent="0.25">
      <c r="A156" s="6" t="str">
        <f t="shared" si="35"/>
        <v>complete</v>
      </c>
      <c r="B156" s="6" t="s">
        <v>156</v>
      </c>
      <c r="C156" s="6" t="str">
        <f t="shared" si="36"/>
        <v>HC1 517</v>
      </c>
      <c r="D156" s="6" t="s">
        <v>155</v>
      </c>
      <c r="E156" s="20">
        <v>517</v>
      </c>
      <c r="F156" s="6" t="s">
        <v>161</v>
      </c>
      <c r="G156" s="6" t="s">
        <v>163</v>
      </c>
      <c r="H156" s="6" t="s">
        <v>977</v>
      </c>
      <c r="I156" s="6" t="s">
        <v>5</v>
      </c>
      <c r="J156" s="29">
        <v>19.154</v>
      </c>
      <c r="K156" s="8">
        <f t="shared" si="37"/>
        <v>1.282259483083982</v>
      </c>
      <c r="L156" s="8">
        <f t="shared" si="38"/>
        <v>7.5576817570875185</v>
      </c>
      <c r="M156" s="8">
        <v>1.3080000000000001</v>
      </c>
      <c r="N156" s="8">
        <f>1.316+1.003</f>
        <v>2.319</v>
      </c>
      <c r="O156" s="8">
        <v>1.26</v>
      </c>
      <c r="P156" s="8">
        <f>0.869+1.043</f>
        <v>1.9119999999999999</v>
      </c>
      <c r="Q156" s="8"/>
      <c r="R156" s="8"/>
      <c r="S156" s="8">
        <v>0.5</v>
      </c>
      <c r="T156" s="8">
        <v>0.81500000000000006</v>
      </c>
      <c r="U156" s="8">
        <f>N156/M156</f>
        <v>1.7729357798165137</v>
      </c>
      <c r="V156" s="8">
        <f t="shared" si="45"/>
        <v>1.5174603174603174</v>
      </c>
      <c r="W156" s="8"/>
      <c r="X156" s="8">
        <f t="shared" si="44"/>
        <v>1.6300000000000001</v>
      </c>
      <c r="Y156" s="31">
        <f t="shared" si="39"/>
        <v>-0.21487881063660527</v>
      </c>
      <c r="Z156" s="31" t="str">
        <f t="shared" si="40"/>
        <v/>
      </c>
      <c r="AA156" s="31">
        <f t="shared" si="41"/>
        <v>-0.21487881063660527</v>
      </c>
    </row>
    <row r="157" spans="1:27" x14ac:dyDescent="0.25">
      <c r="A157" s="6" t="str">
        <f t="shared" si="35"/>
        <v>complete</v>
      </c>
      <c r="B157" s="6" t="s">
        <v>156</v>
      </c>
      <c r="C157" s="6" t="str">
        <f t="shared" si="36"/>
        <v>HC1 517</v>
      </c>
      <c r="D157" s="6" t="s">
        <v>155</v>
      </c>
      <c r="E157" s="20">
        <v>517</v>
      </c>
      <c r="F157" s="6" t="s">
        <v>161</v>
      </c>
      <c r="G157" s="6" t="s">
        <v>164</v>
      </c>
      <c r="H157" s="6" t="s">
        <v>977</v>
      </c>
      <c r="I157" s="6" t="s">
        <v>5</v>
      </c>
      <c r="J157" s="29">
        <v>7.5519999999999996</v>
      </c>
      <c r="K157" s="8">
        <f t="shared" si="37"/>
        <v>0.87806198129001256</v>
      </c>
      <c r="L157" s="8">
        <f t="shared" si="38"/>
        <v>6.6269826148312907</v>
      </c>
      <c r="M157" s="8"/>
      <c r="N157" s="8"/>
      <c r="O157" s="8">
        <v>0.86899999999999999</v>
      </c>
      <c r="P157" s="8">
        <f>0.96+0.909</f>
        <v>1.869</v>
      </c>
      <c r="Q157" s="8"/>
      <c r="R157" s="8"/>
      <c r="S157" s="8">
        <v>0.72</v>
      </c>
      <c r="T157" s="8">
        <f>0.854+0.772</f>
        <v>1.6259999999999999</v>
      </c>
      <c r="U157" s="8"/>
      <c r="V157" s="8">
        <f t="shared" si="45"/>
        <v>2.1507479861910244</v>
      </c>
      <c r="W157" s="8"/>
      <c r="X157" s="8">
        <f t="shared" si="44"/>
        <v>2.2583333333333333</v>
      </c>
      <c r="Y157" s="31">
        <f t="shared" si="39"/>
        <v>-0.34331811320884037</v>
      </c>
      <c r="Z157" s="31" t="str">
        <f t="shared" si="40"/>
        <v/>
      </c>
      <c r="AA157" s="31">
        <f t="shared" si="41"/>
        <v>-0.34331811320884037</v>
      </c>
    </row>
    <row r="158" spans="1:27" x14ac:dyDescent="0.25">
      <c r="A158" s="6" t="str">
        <f t="shared" si="35"/>
        <v>complete</v>
      </c>
      <c r="B158" s="6" t="s">
        <v>156</v>
      </c>
      <c r="C158" s="6" t="str">
        <f t="shared" si="36"/>
        <v>HC1 87110</v>
      </c>
      <c r="D158" s="6" t="s">
        <v>155</v>
      </c>
      <c r="E158" s="20">
        <v>87110</v>
      </c>
      <c r="G158" s="6" t="s">
        <v>167</v>
      </c>
      <c r="H158" s="6" t="s">
        <v>978</v>
      </c>
      <c r="I158" s="8" t="s">
        <v>5</v>
      </c>
      <c r="J158" s="29">
        <v>17.045459999999999</v>
      </c>
      <c r="K158" s="8">
        <f t="shared" si="37"/>
        <v>1.2316087258797246</v>
      </c>
      <c r="L158" s="8">
        <f t="shared" si="38"/>
        <v>7.4410540786001347</v>
      </c>
      <c r="M158" s="8"/>
      <c r="N158" s="8"/>
      <c r="O158" s="8">
        <v>2.5790000000000002</v>
      </c>
      <c r="P158" s="8">
        <f>1.098+2.367+0.844</f>
        <v>4.3090000000000002</v>
      </c>
      <c r="Q158" s="8"/>
      <c r="R158" s="8"/>
      <c r="S158" s="8">
        <v>1.956</v>
      </c>
      <c r="T158" s="8">
        <f>1.643+1.028</f>
        <v>2.6710000000000003</v>
      </c>
      <c r="U158" s="8"/>
      <c r="V158" s="8">
        <f t="shared" si="45"/>
        <v>1.6708026366808839</v>
      </c>
      <c r="W158" s="8"/>
      <c r="X158" s="8">
        <f t="shared" si="44"/>
        <v>1.3655419222903886</v>
      </c>
      <c r="Y158" s="31">
        <f t="shared" si="39"/>
        <v>-0.1813210573200508</v>
      </c>
      <c r="Z158" s="31" t="str">
        <f t="shared" si="40"/>
        <v/>
      </c>
      <c r="AA158" s="31">
        <f t="shared" si="41"/>
        <v>-0.1813210573200508</v>
      </c>
    </row>
    <row r="159" spans="1:27" x14ac:dyDescent="0.25">
      <c r="A159" s="6" t="str">
        <f t="shared" si="35"/>
        <v>complete</v>
      </c>
      <c r="B159" s="6" t="s">
        <v>156</v>
      </c>
      <c r="C159" s="6" t="str">
        <f t="shared" si="36"/>
        <v>HC1 88130</v>
      </c>
      <c r="D159" s="6" t="s">
        <v>155</v>
      </c>
      <c r="E159" s="20">
        <v>88130</v>
      </c>
      <c r="G159" s="6" t="s">
        <v>169</v>
      </c>
      <c r="I159" s="8" t="s">
        <v>5</v>
      </c>
      <c r="J159" s="29">
        <v>7.1017900000000003</v>
      </c>
      <c r="K159" s="8">
        <f t="shared" si="37"/>
        <v>0.85136782606337114</v>
      </c>
      <c r="L159" s="8">
        <f t="shared" si="38"/>
        <v>6.5655170509363572</v>
      </c>
      <c r="M159" s="8"/>
      <c r="N159" s="8"/>
      <c r="O159" s="8">
        <v>0.39200000000000002</v>
      </c>
      <c r="P159" s="8">
        <v>0.73199999999999998</v>
      </c>
      <c r="Q159" s="8"/>
      <c r="R159" s="8"/>
      <c r="S159" s="8">
        <v>0.68200000000000005</v>
      </c>
      <c r="T159" s="8">
        <f>0.632+0.711</f>
        <v>1.343</v>
      </c>
      <c r="U159" s="8"/>
      <c r="V159" s="8">
        <f t="shared" si="45"/>
        <v>1.8673469387755102</v>
      </c>
      <c r="W159" s="8"/>
      <c r="X159" s="8">
        <f t="shared" si="44"/>
        <v>1.9692082111436948</v>
      </c>
      <c r="Y159" s="31">
        <f t="shared" si="39"/>
        <v>-0.28291144983730543</v>
      </c>
      <c r="Z159" s="31" t="str">
        <f t="shared" si="40"/>
        <v/>
      </c>
      <c r="AA159" s="31">
        <f t="shared" si="41"/>
        <v>-0.28291144983730543</v>
      </c>
    </row>
    <row r="160" spans="1:27" x14ac:dyDescent="0.25">
      <c r="A160" s="6" t="str">
        <f t="shared" si="35"/>
        <v>complete</v>
      </c>
      <c r="B160" s="6" t="s">
        <v>156</v>
      </c>
      <c r="C160" s="6" t="str">
        <f t="shared" si="36"/>
        <v>HC1 900</v>
      </c>
      <c r="D160" s="6" t="s">
        <v>155</v>
      </c>
      <c r="E160" s="20">
        <v>900</v>
      </c>
      <c r="F160" s="6" t="s">
        <v>180</v>
      </c>
      <c r="G160" s="6" t="s">
        <v>165</v>
      </c>
      <c r="H160" s="6" t="s">
        <v>977</v>
      </c>
      <c r="I160" s="6" t="s">
        <v>5</v>
      </c>
      <c r="J160" s="29">
        <v>7.6420000000000003</v>
      </c>
      <c r="K160" s="8">
        <f t="shared" si="37"/>
        <v>0.88320703335239004</v>
      </c>
      <c r="L160" s="8">
        <f t="shared" si="38"/>
        <v>6.6388295350127997</v>
      </c>
      <c r="M160" s="8"/>
      <c r="N160" s="8"/>
      <c r="O160" s="8">
        <v>1.2569999999999999</v>
      </c>
      <c r="P160" s="8">
        <f>0.832 + 1.62 + 0.444</f>
        <v>2.8959999999999999</v>
      </c>
      <c r="Q160" s="8"/>
      <c r="R160" s="8"/>
      <c r="S160" s="8">
        <v>0.85099999999999998</v>
      </c>
      <c r="T160" s="8">
        <f>1.202 + 0.43</f>
        <v>1.6319999999999999</v>
      </c>
      <c r="U160" s="8"/>
      <c r="V160" s="8">
        <f t="shared" si="45"/>
        <v>2.3038981702466192</v>
      </c>
      <c r="W160" s="8"/>
      <c r="X160" s="8">
        <f t="shared" si="44"/>
        <v>1.9177438307873089</v>
      </c>
      <c r="Y160" s="31">
        <f t="shared" si="39"/>
        <v>-0.32445140631390978</v>
      </c>
      <c r="Z160" s="31" t="str">
        <f t="shared" si="40"/>
        <v/>
      </c>
      <c r="AA160" s="31">
        <f t="shared" si="41"/>
        <v>-0.32445140631390978</v>
      </c>
    </row>
    <row r="161" spans="1:27" x14ac:dyDescent="0.25">
      <c r="A161" s="6" t="str">
        <f t="shared" si="35"/>
        <v>complete</v>
      </c>
      <c r="B161" s="6" t="s">
        <v>171</v>
      </c>
      <c r="C161" s="6" t="str">
        <f t="shared" si="36"/>
        <v>HC103 1489</v>
      </c>
      <c r="D161" s="6" t="s">
        <v>170</v>
      </c>
      <c r="E161" s="20">
        <v>1489</v>
      </c>
      <c r="F161" s="6" t="s">
        <v>90</v>
      </c>
      <c r="G161" s="6" t="s">
        <v>173</v>
      </c>
      <c r="H161" s="6" t="s">
        <v>977</v>
      </c>
      <c r="I161" s="6" t="s">
        <v>5</v>
      </c>
      <c r="J161" s="29">
        <v>30.024999999999999</v>
      </c>
      <c r="K161" s="8">
        <f t="shared" si="37"/>
        <v>1.4774830160749437</v>
      </c>
      <c r="L161" s="8">
        <f t="shared" si="38"/>
        <v>8.0072005539541387</v>
      </c>
      <c r="M161" s="8">
        <v>1.0189999999999999</v>
      </c>
      <c r="N161" s="8">
        <f>0.642+0.466</f>
        <v>1.1080000000000001</v>
      </c>
      <c r="O161" s="8"/>
      <c r="P161" s="8"/>
      <c r="Q161" s="8">
        <v>2.0350000000000001</v>
      </c>
      <c r="R161" s="8">
        <f>0.567+0.84+0.768+0.757</f>
        <v>2.9319999999999999</v>
      </c>
      <c r="S161" s="8">
        <v>2.4289999999999998</v>
      </c>
      <c r="T161" s="8">
        <f>0.862+1.226+0.763</f>
        <v>2.851</v>
      </c>
      <c r="U161" s="8">
        <f>N161/M161</f>
        <v>1.0873405299313055</v>
      </c>
      <c r="V161" s="8"/>
      <c r="W161" s="8">
        <f t="shared" ref="W161:W166" si="46">R161/Q161</f>
        <v>1.4407862407862406</v>
      </c>
      <c r="X161" s="8">
        <f t="shared" si="44"/>
        <v>1.1737340469328943</v>
      </c>
      <c r="Y161" s="31">
        <f t="shared" si="39"/>
        <v>-9.1298831425288024E-2</v>
      </c>
      <c r="Z161" s="31" t="str">
        <f t="shared" si="40"/>
        <v/>
      </c>
      <c r="AA161" s="31">
        <f t="shared" si="41"/>
        <v>-9.1298831425288024E-2</v>
      </c>
    </row>
    <row r="162" spans="1:27" x14ac:dyDescent="0.25">
      <c r="A162" s="6" t="str">
        <f t="shared" si="35"/>
        <v>complete</v>
      </c>
      <c r="B162" s="6" t="s">
        <v>171</v>
      </c>
      <c r="C162" s="6" t="str">
        <f t="shared" si="36"/>
        <v>HC103 428</v>
      </c>
      <c r="D162" s="6" t="s">
        <v>170</v>
      </c>
      <c r="E162" s="20">
        <v>428</v>
      </c>
      <c r="F162" s="6" t="s">
        <v>154</v>
      </c>
      <c r="G162" s="6" t="s">
        <v>172</v>
      </c>
      <c r="H162" s="6" t="s">
        <v>979</v>
      </c>
      <c r="I162" s="6" t="s">
        <v>5</v>
      </c>
      <c r="J162" s="29">
        <f>5.104*2</f>
        <v>10.208</v>
      </c>
      <c r="K162" s="8">
        <f t="shared" si="37"/>
        <v>1.008940661377087</v>
      </c>
      <c r="L162" s="8">
        <f t="shared" si="38"/>
        <v>6.9283419125905255</v>
      </c>
      <c r="M162" s="8">
        <v>0.65800000000000003</v>
      </c>
      <c r="N162" s="8">
        <v>1.3129999999999999</v>
      </c>
      <c r="O162" s="8"/>
      <c r="P162" s="8"/>
      <c r="Q162" s="8">
        <v>0.32300000000000001</v>
      </c>
      <c r="R162" s="8">
        <f>0.374+0.38</f>
        <v>0.754</v>
      </c>
      <c r="S162" s="8"/>
      <c r="T162" s="8"/>
      <c r="U162" s="8">
        <f>N162/M162</f>
        <v>1.9954407294832825</v>
      </c>
      <c r="V162" s="8"/>
      <c r="W162" s="8">
        <f t="shared" si="46"/>
        <v>2.3343653250773992</v>
      </c>
      <c r="X162" s="8"/>
      <c r="Y162" s="31">
        <f t="shared" si="39"/>
        <v>-0.33543844772852816</v>
      </c>
      <c r="Z162" s="31" t="str">
        <f t="shared" si="40"/>
        <v/>
      </c>
      <c r="AA162" s="31">
        <f t="shared" si="41"/>
        <v>-0.33543844772852816</v>
      </c>
    </row>
    <row r="163" spans="1:27" x14ac:dyDescent="0.25">
      <c r="A163" s="6" t="str">
        <f t="shared" si="35"/>
        <v>complete</v>
      </c>
      <c r="B163" s="6" t="s">
        <v>171</v>
      </c>
      <c r="C163" s="6" t="str">
        <f t="shared" si="36"/>
        <v>HC103 568</v>
      </c>
      <c r="D163" s="6" t="s">
        <v>170</v>
      </c>
      <c r="E163" s="20">
        <v>568</v>
      </c>
      <c r="G163" s="6" t="s">
        <v>174</v>
      </c>
      <c r="H163" s="6" t="s">
        <v>979</v>
      </c>
      <c r="I163" s="8" t="s">
        <v>5</v>
      </c>
      <c r="J163" s="29">
        <v>33.619439999999997</v>
      </c>
      <c r="K163" s="8">
        <f t="shared" si="37"/>
        <v>1.5265904751077535</v>
      </c>
      <c r="L163" s="8">
        <f t="shared" si="38"/>
        <v>8.1202746570779016</v>
      </c>
      <c r="M163" s="8"/>
      <c r="N163" s="8"/>
      <c r="O163" s="8"/>
      <c r="P163" s="8"/>
      <c r="Q163" s="8">
        <v>1.0589999999999999</v>
      </c>
      <c r="R163" s="8">
        <f>0.829+0.769</f>
        <v>1.5979999999999999</v>
      </c>
      <c r="S163" s="8">
        <v>1.5309999999999999</v>
      </c>
      <c r="T163" s="8">
        <v>1.5980000000000001</v>
      </c>
      <c r="U163" s="8"/>
      <c r="V163" s="8"/>
      <c r="W163" s="8">
        <f t="shared" si="46"/>
        <v>1.5089707271010386</v>
      </c>
      <c r="X163" s="8">
        <f>T163/S163</f>
        <v>1.0437622468974528</v>
      </c>
      <c r="Y163" s="31">
        <f t="shared" si="39"/>
        <v>-0.10597539258949723</v>
      </c>
      <c r="Z163" s="31" t="str">
        <f t="shared" si="40"/>
        <v/>
      </c>
      <c r="AA163" s="31">
        <f t="shared" si="41"/>
        <v>-0.10597539258949723</v>
      </c>
    </row>
    <row r="164" spans="1:27" x14ac:dyDescent="0.25">
      <c r="A164" s="6" t="str">
        <f t="shared" si="35"/>
        <v>complete</v>
      </c>
      <c r="B164" s="6" t="s">
        <v>171</v>
      </c>
      <c r="C164" s="6" t="str">
        <f t="shared" si="36"/>
        <v>HC103 568</v>
      </c>
      <c r="D164" s="6" t="s">
        <v>170</v>
      </c>
      <c r="E164" s="20">
        <v>568</v>
      </c>
      <c r="G164" s="6" t="s">
        <v>175</v>
      </c>
      <c r="H164" s="6" t="s">
        <v>979</v>
      </c>
      <c r="I164" s="8" t="s">
        <v>5</v>
      </c>
      <c r="J164" s="29">
        <v>32.021700000000003</v>
      </c>
      <c r="K164" s="8">
        <f t="shared" si="37"/>
        <v>1.5054443844546448</v>
      </c>
      <c r="L164" s="8">
        <f t="shared" si="38"/>
        <v>8.0715839839649526</v>
      </c>
      <c r="M164" s="8"/>
      <c r="N164" s="8"/>
      <c r="O164" s="8"/>
      <c r="P164" s="8"/>
      <c r="Q164" s="8">
        <v>1.5549999999999999</v>
      </c>
      <c r="R164" s="8">
        <f>1.144+0.99</f>
        <v>2.1339999999999999</v>
      </c>
      <c r="S164" s="8"/>
      <c r="T164" s="8"/>
      <c r="U164" s="8"/>
      <c r="V164" s="8"/>
      <c r="W164" s="8">
        <f t="shared" si="46"/>
        <v>1.372347266881029</v>
      </c>
      <c r="X164" s="8"/>
      <c r="Y164" s="31">
        <f t="shared" si="39"/>
        <v>-0.1374640217255948</v>
      </c>
      <c r="Z164" s="31" t="str">
        <f t="shared" si="40"/>
        <v/>
      </c>
      <c r="AA164" s="31">
        <f t="shared" si="41"/>
        <v>-0.1374640217255948</v>
      </c>
    </row>
    <row r="165" spans="1:27" x14ac:dyDescent="0.25">
      <c r="A165" s="6" t="str">
        <f t="shared" si="35"/>
        <v>complete</v>
      </c>
      <c r="B165" s="6" t="s">
        <v>171</v>
      </c>
      <c r="C165" s="6" t="str">
        <f t="shared" si="36"/>
        <v>HC103 568</v>
      </c>
      <c r="D165" s="6" t="s">
        <v>170</v>
      </c>
      <c r="E165" s="20">
        <v>568</v>
      </c>
      <c r="G165" s="6" t="s">
        <v>176</v>
      </c>
      <c r="H165" s="6" t="s">
        <v>979</v>
      </c>
      <c r="I165" s="8" t="s">
        <v>5</v>
      </c>
      <c r="J165" s="29">
        <v>48.470599999999997</v>
      </c>
      <c r="K165" s="8">
        <f t="shared" si="37"/>
        <v>1.6854783957301112</v>
      </c>
      <c r="L165" s="8">
        <f t="shared" si="38"/>
        <v>8.4861276145597646</v>
      </c>
      <c r="M165" s="8">
        <v>2.1469999999999998</v>
      </c>
      <c r="N165" s="8">
        <f>1.369+1.163</f>
        <v>2.532</v>
      </c>
      <c r="O165" s="8">
        <v>1.2649999999999999</v>
      </c>
      <c r="P165" s="8">
        <f>0.739+0.699</f>
        <v>1.4379999999999999</v>
      </c>
      <c r="Q165" s="8">
        <v>1.2190000000000001</v>
      </c>
      <c r="R165" s="8">
        <f>0.889+0.764</f>
        <v>1.653</v>
      </c>
      <c r="S165" s="8">
        <v>2.415</v>
      </c>
      <c r="T165" s="8">
        <f>1.346+1.423</f>
        <v>2.7690000000000001</v>
      </c>
      <c r="U165" s="8">
        <f>N165/M165</f>
        <v>1.1793199813693527</v>
      </c>
      <c r="V165" s="8">
        <f>P165/O165</f>
        <v>1.1367588932806325</v>
      </c>
      <c r="W165" s="8">
        <f t="shared" si="46"/>
        <v>1.3560295324036094</v>
      </c>
      <c r="X165" s="8">
        <f>T165/S165</f>
        <v>1.146583850931677</v>
      </c>
      <c r="Y165" s="31">
        <f t="shared" si="39"/>
        <v>-8.0869199981234721E-2</v>
      </c>
      <c r="Z165" s="31" t="str">
        <f t="shared" si="40"/>
        <v/>
      </c>
      <c r="AA165" s="31">
        <f t="shared" si="41"/>
        <v>-8.0869199981234721E-2</v>
      </c>
    </row>
    <row r="166" spans="1:27" x14ac:dyDescent="0.25">
      <c r="A166" s="6" t="str">
        <f t="shared" si="35"/>
        <v>complete</v>
      </c>
      <c r="B166" s="6" t="s">
        <v>171</v>
      </c>
      <c r="C166" s="6" t="str">
        <f t="shared" si="36"/>
        <v>HC103 568</v>
      </c>
      <c r="D166" s="6" t="s">
        <v>170</v>
      </c>
      <c r="E166" s="20">
        <v>568</v>
      </c>
      <c r="G166" s="6" t="s">
        <v>177</v>
      </c>
      <c r="H166" s="6" t="s">
        <v>979</v>
      </c>
      <c r="I166" s="8" t="s">
        <v>5</v>
      </c>
      <c r="J166" s="29">
        <v>29.58032</v>
      </c>
      <c r="K166" s="8">
        <f t="shared" si="37"/>
        <v>1.4710028678854339</v>
      </c>
      <c r="L166" s="8">
        <f t="shared" si="38"/>
        <v>7.9922794613325809</v>
      </c>
      <c r="M166" s="8"/>
      <c r="N166" s="8"/>
      <c r="O166" s="8">
        <v>1.9410000000000001</v>
      </c>
      <c r="P166" s="8">
        <f>0.922+1.056+0.678</f>
        <v>2.6560000000000001</v>
      </c>
      <c r="Q166" s="8">
        <v>1.4650000000000001</v>
      </c>
      <c r="R166" s="8">
        <f>0.75+0.785+0.801</f>
        <v>2.3360000000000003</v>
      </c>
      <c r="S166" s="8"/>
      <c r="T166" s="8"/>
      <c r="U166" s="8"/>
      <c r="V166" s="8">
        <f>P166/O166</f>
        <v>1.3683668212261721</v>
      </c>
      <c r="W166" s="8">
        <f t="shared" si="46"/>
        <v>1.5945392491467578</v>
      </c>
      <c r="X166" s="8"/>
      <c r="Y166" s="31">
        <f t="shared" si="39"/>
        <v>-0.17068788809236904</v>
      </c>
      <c r="Z166" s="31" t="str">
        <f t="shared" si="40"/>
        <v/>
      </c>
      <c r="AA166" s="31">
        <f t="shared" si="41"/>
        <v>-0.17068788809236904</v>
      </c>
    </row>
    <row r="167" spans="1:27" x14ac:dyDescent="0.25">
      <c r="A167" s="6" t="str">
        <f t="shared" si="35"/>
        <v>complete</v>
      </c>
      <c r="B167" s="6" t="s">
        <v>171</v>
      </c>
      <c r="C167" s="6" t="str">
        <f t="shared" si="36"/>
        <v>HC103 87107</v>
      </c>
      <c r="D167" s="6" t="s">
        <v>170</v>
      </c>
      <c r="E167" s="20">
        <v>87107</v>
      </c>
      <c r="G167" s="6" t="s">
        <v>178</v>
      </c>
      <c r="I167" s="8" t="s">
        <v>5</v>
      </c>
      <c r="J167" s="29">
        <v>35.242719999999998</v>
      </c>
      <c r="K167" s="8">
        <f t="shared" si="37"/>
        <v>1.5470694194733963</v>
      </c>
      <c r="L167" s="8">
        <f t="shared" si="38"/>
        <v>8.1674291690944862</v>
      </c>
      <c r="M167" s="8">
        <v>1.4830000000000001</v>
      </c>
      <c r="N167" s="8">
        <f>1.185+0.549</f>
        <v>1.734</v>
      </c>
      <c r="O167" s="8">
        <v>2.3340000000000001</v>
      </c>
      <c r="P167" s="8">
        <f>0.811+1.129+0.566</f>
        <v>2.5059999999999998</v>
      </c>
      <c r="Q167" s="8"/>
      <c r="R167" s="8"/>
      <c r="S167" s="8">
        <v>1.863</v>
      </c>
      <c r="T167" s="8">
        <f>0.774+0.894+0.998</f>
        <v>2.6660000000000004</v>
      </c>
      <c r="U167" s="8">
        <f>N167/M167</f>
        <v>1.1692515171948752</v>
      </c>
      <c r="V167" s="8">
        <f>P167/O167</f>
        <v>1.0736932305055698</v>
      </c>
      <c r="W167" s="8"/>
      <c r="X167" s="8">
        <f>T167/S167</f>
        <v>1.4310252281266775</v>
      </c>
      <c r="Y167" s="31">
        <f t="shared" si="39"/>
        <v>-8.8014348152172864E-2</v>
      </c>
      <c r="Z167" s="31" t="str">
        <f t="shared" si="40"/>
        <v/>
      </c>
      <c r="AA167" s="31">
        <f t="shared" si="41"/>
        <v>-8.8014348152172864E-2</v>
      </c>
    </row>
    <row r="168" spans="1:27" x14ac:dyDescent="0.25">
      <c r="A168" s="6" t="str">
        <f t="shared" si="35"/>
        <v>complete</v>
      </c>
      <c r="B168" s="6" t="s">
        <v>171</v>
      </c>
      <c r="C168" s="6" t="str">
        <f t="shared" si="36"/>
        <v>HC103 88125</v>
      </c>
      <c r="D168" s="6" t="s">
        <v>170</v>
      </c>
      <c r="E168" s="20">
        <v>88125</v>
      </c>
      <c r="G168" s="6" t="s">
        <v>179</v>
      </c>
      <c r="I168" s="8" t="s">
        <v>5</v>
      </c>
      <c r="J168" s="29">
        <v>17.27178</v>
      </c>
      <c r="K168" s="8">
        <f t="shared" si="37"/>
        <v>1.237337097517784</v>
      </c>
      <c r="L168" s="8">
        <f t="shared" si="38"/>
        <v>7.4542441417410608</v>
      </c>
      <c r="M168" s="8"/>
      <c r="N168" s="8"/>
      <c r="O168" s="8">
        <v>0.93899999999999995</v>
      </c>
      <c r="P168" s="8">
        <f>0.715+1.025</f>
        <v>1.7399999999999998</v>
      </c>
      <c r="Q168" s="8">
        <v>0.51800000000000002</v>
      </c>
      <c r="R168" s="8">
        <f>0.285+0.434+0.439</f>
        <v>1.1579999999999999</v>
      </c>
      <c r="S168" s="8">
        <v>0.98099999999999998</v>
      </c>
      <c r="T168" s="8">
        <f>0.786+0.322</f>
        <v>1.1080000000000001</v>
      </c>
      <c r="U168" s="8"/>
      <c r="V168" s="8">
        <f>P168/O168</f>
        <v>1.8530351437699679</v>
      </c>
      <c r="W168" s="8">
        <f>R168/Q168</f>
        <v>2.2355212355212353</v>
      </c>
      <c r="X168" s="8">
        <f>T168/S168</f>
        <v>1.1294597349643223</v>
      </c>
      <c r="Y168" s="31">
        <f t="shared" si="39"/>
        <v>-0.24038416123301184</v>
      </c>
      <c r="Z168" s="31" t="str">
        <f t="shared" si="40"/>
        <v/>
      </c>
      <c r="AA168" s="31">
        <f t="shared" si="41"/>
        <v>-0.24038416123301184</v>
      </c>
    </row>
    <row r="169" spans="1:27" x14ac:dyDescent="0.25">
      <c r="A169" s="6" t="str">
        <f t="shared" si="35"/>
        <v>complete</v>
      </c>
      <c r="B169" s="6" t="s">
        <v>182</v>
      </c>
      <c r="C169" s="6" t="str">
        <f t="shared" si="36"/>
        <v>HC105 1250</v>
      </c>
      <c r="D169" s="22" t="s">
        <v>181</v>
      </c>
      <c r="E169" s="22">
        <v>1250</v>
      </c>
      <c r="F169" s="1"/>
      <c r="G169" s="24" t="s">
        <v>1182</v>
      </c>
      <c r="H169" s="24" t="s">
        <v>977</v>
      </c>
      <c r="I169" s="6" t="s">
        <v>5</v>
      </c>
      <c r="J169" s="30">
        <f>12.502*2</f>
        <v>25.004000000000001</v>
      </c>
      <c r="K169" s="8">
        <f t="shared" si="37"/>
        <v>1.3980094902307656</v>
      </c>
      <c r="L169" s="8">
        <f t="shared" si="38"/>
        <v>7.824205998057657</v>
      </c>
      <c r="M169" s="23">
        <v>1.43</v>
      </c>
      <c r="N169" s="23">
        <f>1.036+1.307+0.377</f>
        <v>2.7199999999999998</v>
      </c>
      <c r="O169" s="23">
        <v>1.0409999999999999</v>
      </c>
      <c r="P169" s="23">
        <f>0.861+0.799</f>
        <v>1.6600000000000001</v>
      </c>
      <c r="Q169" s="23">
        <v>1.446</v>
      </c>
      <c r="R169" s="23">
        <f>1.041+1.253</f>
        <v>2.2939999999999996</v>
      </c>
      <c r="S169" s="8"/>
      <c r="T169" s="8"/>
      <c r="U169" s="8">
        <v>1.9020979020979021</v>
      </c>
      <c r="V169" s="8">
        <v>1.5946205571565804</v>
      </c>
      <c r="W169" s="8">
        <v>1.5864453665283538</v>
      </c>
      <c r="X169" s="8"/>
      <c r="Y169" s="31">
        <f t="shared" si="39"/>
        <v>-0.22901285212782549</v>
      </c>
      <c r="Z169" s="31" t="str">
        <f t="shared" si="40"/>
        <v/>
      </c>
      <c r="AA169" s="31">
        <f t="shared" si="41"/>
        <v>-0.22901285212782549</v>
      </c>
    </row>
    <row r="170" spans="1:27" x14ac:dyDescent="0.25">
      <c r="A170" s="6" t="str">
        <f t="shared" si="35"/>
        <v>complete</v>
      </c>
      <c r="B170" s="6" t="s">
        <v>182</v>
      </c>
      <c r="C170" s="6" t="str">
        <f t="shared" si="36"/>
        <v>HC105 1781</v>
      </c>
      <c r="D170" s="6" t="s">
        <v>181</v>
      </c>
      <c r="E170" s="20">
        <v>1781</v>
      </c>
      <c r="F170" s="6" t="s">
        <v>190</v>
      </c>
      <c r="G170" s="6" t="s">
        <v>191</v>
      </c>
      <c r="H170" s="6" t="s">
        <v>977</v>
      </c>
      <c r="I170" s="6" t="s">
        <v>5</v>
      </c>
      <c r="J170" s="29">
        <v>29.867999999999999</v>
      </c>
      <c r="K170" s="8">
        <f t="shared" si="37"/>
        <v>1.475206142656218</v>
      </c>
      <c r="L170" s="8">
        <f t="shared" si="38"/>
        <v>8.0019578591615463</v>
      </c>
      <c r="M170" s="8"/>
      <c r="N170" s="8"/>
      <c r="O170" s="8">
        <v>1.986</v>
      </c>
      <c r="P170" s="8">
        <f>1.057+0.575+1.029+0.671</f>
        <v>3.3319999999999999</v>
      </c>
      <c r="Q170" s="8">
        <v>0.46800000000000003</v>
      </c>
      <c r="R170" s="8">
        <f>0.484+0.465</f>
        <v>0.94900000000000007</v>
      </c>
      <c r="S170" s="8">
        <v>1.8180000000000001</v>
      </c>
      <c r="T170" s="8">
        <f>1.147+1.357</f>
        <v>2.504</v>
      </c>
      <c r="U170" s="8"/>
      <c r="V170" s="8">
        <f>P170/O170</f>
        <v>1.6777442094662638</v>
      </c>
      <c r="W170" s="8">
        <f>R170/Q170</f>
        <v>2.0277777777777777</v>
      </c>
      <c r="X170" s="8">
        <f>T170/S170</f>
        <v>1.3773377337733772</v>
      </c>
      <c r="Y170" s="31">
        <f t="shared" si="39"/>
        <v>-0.22898686929963846</v>
      </c>
      <c r="Z170" s="31" t="str">
        <f t="shared" si="40"/>
        <v/>
      </c>
      <c r="AA170" s="31">
        <f t="shared" si="41"/>
        <v>-0.22898686929963846</v>
      </c>
    </row>
    <row r="171" spans="1:27" x14ac:dyDescent="0.25">
      <c r="A171" s="6" t="str">
        <f t="shared" si="35"/>
        <v>fragment</v>
      </c>
      <c r="B171" s="6" t="s">
        <v>182</v>
      </c>
      <c r="C171" s="6" t="str">
        <f t="shared" si="36"/>
        <v>HC105 1781</v>
      </c>
      <c r="D171" s="6" t="s">
        <v>181</v>
      </c>
      <c r="E171" s="20">
        <v>1781</v>
      </c>
      <c r="F171" s="6" t="s">
        <v>190</v>
      </c>
      <c r="G171" s="6" t="s">
        <v>192</v>
      </c>
      <c r="H171" s="6" t="s">
        <v>977</v>
      </c>
      <c r="I171" s="6" t="s">
        <v>5</v>
      </c>
      <c r="J171" s="29"/>
      <c r="K171" s="8" t="str">
        <f t="shared" si="37"/>
        <v/>
      </c>
      <c r="L171" s="8" t="str">
        <f t="shared" si="38"/>
        <v/>
      </c>
      <c r="M171" s="8"/>
      <c r="N171" s="8"/>
      <c r="O171" s="8"/>
      <c r="P171" s="8"/>
      <c r="Q171" s="8">
        <v>5.2430000000000003</v>
      </c>
      <c r="R171" s="8">
        <f>1.341+2.299+1.198</f>
        <v>4.8379999999999992</v>
      </c>
      <c r="S171" s="8">
        <v>3.8370000000000002</v>
      </c>
      <c r="T171" s="8">
        <f>1.025+1.631+0.808</f>
        <v>3.4639999999999995</v>
      </c>
      <c r="U171" s="8"/>
      <c r="V171" s="8"/>
      <c r="W171" s="8">
        <f>R171/Q171</f>
        <v>0.92275414838832703</v>
      </c>
      <c r="X171" s="8">
        <f>T171/S171</f>
        <v>0.90278863695595502</v>
      </c>
      <c r="Y171" s="31">
        <f t="shared" si="39"/>
        <v>3.9637979675863452E-2</v>
      </c>
      <c r="Z171" s="31">
        <f t="shared" si="40"/>
        <v>3.9637979675863452E-2</v>
      </c>
      <c r="AA171" s="31" t="str">
        <f t="shared" si="41"/>
        <v/>
      </c>
    </row>
    <row r="172" spans="1:27" x14ac:dyDescent="0.25">
      <c r="A172" s="6" t="str">
        <f t="shared" si="35"/>
        <v>complete</v>
      </c>
      <c r="B172" s="6" t="s">
        <v>182</v>
      </c>
      <c r="C172" s="6" t="str">
        <f t="shared" si="36"/>
        <v>HC105 1781</v>
      </c>
      <c r="D172" s="6" t="s">
        <v>181</v>
      </c>
      <c r="E172" s="20">
        <v>1781</v>
      </c>
      <c r="F172" s="6" t="s">
        <v>190</v>
      </c>
      <c r="G172" s="6" t="s">
        <v>193</v>
      </c>
      <c r="H172" s="6" t="s">
        <v>977</v>
      </c>
      <c r="I172" s="6" t="s">
        <v>5</v>
      </c>
      <c r="J172" s="29">
        <v>21.83839</v>
      </c>
      <c r="K172" s="8">
        <f t="shared" si="37"/>
        <v>1.3392206175542452</v>
      </c>
      <c r="L172" s="8">
        <f t="shared" si="38"/>
        <v>7.6888396161987762</v>
      </c>
      <c r="M172" s="8">
        <v>4.1130000000000004</v>
      </c>
      <c r="N172" s="8">
        <f>1.064+1.738+0.768</f>
        <v>3.5700000000000003</v>
      </c>
      <c r="O172" s="8">
        <v>8.11</v>
      </c>
      <c r="P172" s="8">
        <f>2.361+2.383+1.816</f>
        <v>6.56</v>
      </c>
      <c r="Q172" s="8"/>
      <c r="R172" s="8"/>
      <c r="S172" s="8"/>
      <c r="T172" s="8"/>
      <c r="U172" s="8">
        <f>N172/M172</f>
        <v>0.86797957695113059</v>
      </c>
      <c r="V172" s="8">
        <f>P172/O172</f>
        <v>0.80887792848335394</v>
      </c>
      <c r="W172" s="8"/>
      <c r="X172" s="8"/>
      <c r="Y172" s="31">
        <f t="shared" si="39"/>
        <v>7.6533836595652563E-2</v>
      </c>
      <c r="Z172" s="31" t="str">
        <f t="shared" si="40"/>
        <v/>
      </c>
      <c r="AA172" s="31">
        <f t="shared" si="41"/>
        <v>7.6533836595652563E-2</v>
      </c>
    </row>
    <row r="173" spans="1:27" x14ac:dyDescent="0.25">
      <c r="A173" s="6" t="str">
        <f t="shared" si="35"/>
        <v>fragment</v>
      </c>
      <c r="B173" s="6" t="s">
        <v>182</v>
      </c>
      <c r="C173" s="6" t="str">
        <f t="shared" si="36"/>
        <v>HC105 1781</v>
      </c>
      <c r="D173" s="6" t="s">
        <v>181</v>
      </c>
      <c r="E173" s="20">
        <v>1781</v>
      </c>
      <c r="F173" s="6" t="s">
        <v>190</v>
      </c>
      <c r="G173" s="6" t="s">
        <v>194</v>
      </c>
      <c r="H173" s="6" t="s">
        <v>977</v>
      </c>
      <c r="I173" s="6" t="s">
        <v>5</v>
      </c>
      <c r="J173" s="29"/>
      <c r="K173" s="8" t="str">
        <f t="shared" si="37"/>
        <v/>
      </c>
      <c r="L173" s="8" t="str">
        <f t="shared" si="38"/>
        <v/>
      </c>
      <c r="M173" s="8"/>
      <c r="N173" s="8"/>
      <c r="O173" s="8"/>
      <c r="P173" s="8"/>
      <c r="Q173" s="8"/>
      <c r="R173" s="8"/>
      <c r="S173" s="8">
        <v>4.0019999999999998</v>
      </c>
      <c r="T173" s="8">
        <f>1.196+1.898+1.138</f>
        <v>4.2319999999999993</v>
      </c>
      <c r="U173" s="8"/>
      <c r="V173" s="8"/>
      <c r="W173" s="8"/>
      <c r="X173" s="8">
        <f>T173/S173</f>
        <v>1.0574712643678159</v>
      </c>
      <c r="Y173" s="31">
        <f t="shared" si="39"/>
        <v>-2.4268574726936651E-2</v>
      </c>
      <c r="Z173" s="31">
        <f t="shared" si="40"/>
        <v>-2.4268574726936651E-2</v>
      </c>
      <c r="AA173" s="31" t="str">
        <f t="shared" si="41"/>
        <v/>
      </c>
    </row>
    <row r="174" spans="1:27" x14ac:dyDescent="0.25">
      <c r="A174" s="6" t="str">
        <f t="shared" si="35"/>
        <v>fragment</v>
      </c>
      <c r="B174" s="6" t="s">
        <v>182</v>
      </c>
      <c r="C174" s="6" t="str">
        <f t="shared" si="36"/>
        <v>HC105 1781</v>
      </c>
      <c r="D174" s="6" t="s">
        <v>181</v>
      </c>
      <c r="E174" s="20">
        <v>1781</v>
      </c>
      <c r="F174" s="6" t="s">
        <v>190</v>
      </c>
      <c r="G174" s="6" t="s">
        <v>195</v>
      </c>
      <c r="H174" s="6" t="s">
        <v>977</v>
      </c>
      <c r="I174" s="6" t="s">
        <v>5</v>
      </c>
      <c r="J174" s="29"/>
      <c r="K174" s="8" t="str">
        <f t="shared" si="37"/>
        <v/>
      </c>
      <c r="L174" s="8" t="str">
        <f t="shared" si="38"/>
        <v/>
      </c>
      <c r="M174" s="8"/>
      <c r="N174" s="8"/>
      <c r="O174" s="8">
        <v>1.0860000000000001</v>
      </c>
      <c r="P174" s="8">
        <f>0.85+0.304+0.496</f>
        <v>1.65</v>
      </c>
      <c r="Q174" s="8">
        <v>0.65</v>
      </c>
      <c r="R174" s="8">
        <f>0.761+0.162+0.603</f>
        <v>1.526</v>
      </c>
      <c r="S174" s="8"/>
      <c r="T174" s="8"/>
      <c r="U174" s="8"/>
      <c r="V174" s="8">
        <f t="shared" ref="V174:V198" si="47">P174/O174</f>
        <v>1.5193370165745854</v>
      </c>
      <c r="W174" s="8">
        <f>R174/Q174</f>
        <v>2.3476923076923075</v>
      </c>
      <c r="X174" s="8"/>
      <c r="Y174" s="31">
        <f t="shared" si="39"/>
        <v>-0.28634746974216169</v>
      </c>
      <c r="Z174" s="31">
        <f t="shared" si="40"/>
        <v>-0.28634746974216169</v>
      </c>
      <c r="AA174" s="31" t="str">
        <f t="shared" si="41"/>
        <v/>
      </c>
    </row>
    <row r="175" spans="1:27" x14ac:dyDescent="0.25">
      <c r="A175" s="6" t="str">
        <f t="shared" si="35"/>
        <v>complete</v>
      </c>
      <c r="B175" s="6" t="s">
        <v>182</v>
      </c>
      <c r="C175" s="6" t="str">
        <f t="shared" si="36"/>
        <v>HC105 1781</v>
      </c>
      <c r="D175" s="6" t="s">
        <v>181</v>
      </c>
      <c r="E175" s="20">
        <v>1781</v>
      </c>
      <c r="F175" s="6" t="s">
        <v>190</v>
      </c>
      <c r="G175" s="6" t="s">
        <v>196</v>
      </c>
      <c r="H175" s="6" t="s">
        <v>977</v>
      </c>
      <c r="I175" s="6" t="s">
        <v>5</v>
      </c>
      <c r="J175" s="29">
        <v>21.187000000000001</v>
      </c>
      <c r="K175" s="8">
        <f t="shared" si="37"/>
        <v>1.3260694665888941</v>
      </c>
      <c r="L175" s="8">
        <f t="shared" si="38"/>
        <v>7.6585579720302448</v>
      </c>
      <c r="M175" s="8"/>
      <c r="N175" s="8"/>
      <c r="O175" s="8">
        <v>1.2370000000000001</v>
      </c>
      <c r="P175" s="8">
        <f>0.713+0.7+0.64</f>
        <v>2.0529999999999999</v>
      </c>
      <c r="Q175" s="8"/>
      <c r="R175" s="8"/>
      <c r="S175" s="8">
        <v>1.33</v>
      </c>
      <c r="T175" s="8">
        <f>0.946+0.618</f>
        <v>1.5640000000000001</v>
      </c>
      <c r="U175" s="8"/>
      <c r="V175" s="8">
        <f t="shared" si="47"/>
        <v>1.6596604688763135</v>
      </c>
      <c r="W175" s="8"/>
      <c r="X175" s="8">
        <f>T175/S175</f>
        <v>1.1759398496240601</v>
      </c>
      <c r="Y175" s="31">
        <f t="shared" si="39"/>
        <v>-0.1516150207968516</v>
      </c>
      <c r="Z175" s="31" t="str">
        <f t="shared" si="40"/>
        <v/>
      </c>
      <c r="AA175" s="31">
        <f t="shared" si="41"/>
        <v>-0.1516150207968516</v>
      </c>
    </row>
    <row r="176" spans="1:27" x14ac:dyDescent="0.25">
      <c r="A176" s="6" t="str">
        <f t="shared" si="35"/>
        <v>complete</v>
      </c>
      <c r="B176" s="6" t="s">
        <v>182</v>
      </c>
      <c r="C176" s="6" t="str">
        <f t="shared" si="36"/>
        <v>HC105 2099</v>
      </c>
      <c r="D176" s="6" t="s">
        <v>181</v>
      </c>
      <c r="E176" s="20">
        <v>2099</v>
      </c>
      <c r="G176" s="6" t="s">
        <v>247</v>
      </c>
      <c r="H176" s="6" t="s">
        <v>977</v>
      </c>
      <c r="I176" s="6" t="s">
        <v>5</v>
      </c>
      <c r="J176" s="29">
        <v>14.391389999999999</v>
      </c>
      <c r="K176" s="8">
        <f t="shared" si="37"/>
        <v>1.1581027425242387</v>
      </c>
      <c r="L176" s="8">
        <f t="shared" si="38"/>
        <v>7.2718002970799249</v>
      </c>
      <c r="M176" s="8">
        <v>0.77800000000000002</v>
      </c>
      <c r="N176" s="8">
        <f>0.51+0.745</f>
        <v>1.2549999999999999</v>
      </c>
      <c r="O176" s="8">
        <v>1.044</v>
      </c>
      <c r="P176" s="8">
        <f>0.67+0.792+0.59</f>
        <v>2.052</v>
      </c>
      <c r="Q176" s="8"/>
      <c r="R176" s="8"/>
      <c r="S176" s="8"/>
      <c r="T176" s="8"/>
      <c r="U176" s="8">
        <f>N176/M176</f>
        <v>1.6131105398457581</v>
      </c>
      <c r="V176" s="8">
        <f t="shared" si="47"/>
        <v>1.9655172413793103</v>
      </c>
      <c r="W176" s="8"/>
      <c r="X176" s="8"/>
      <c r="Y176" s="31">
        <f t="shared" si="39"/>
        <v>-0.25268653341431818</v>
      </c>
      <c r="Z176" s="31" t="str">
        <f t="shared" si="40"/>
        <v/>
      </c>
      <c r="AA176" s="31">
        <f t="shared" si="41"/>
        <v>-0.25268653341431818</v>
      </c>
    </row>
    <row r="177" spans="1:27" x14ac:dyDescent="0.25">
      <c r="A177" s="6" t="str">
        <f t="shared" si="35"/>
        <v>complete</v>
      </c>
      <c r="B177" s="6" t="s">
        <v>182</v>
      </c>
      <c r="C177" s="6" t="str">
        <f t="shared" si="36"/>
        <v>HC105 428</v>
      </c>
      <c r="D177" s="6" t="s">
        <v>181</v>
      </c>
      <c r="E177" s="20">
        <v>428</v>
      </c>
      <c r="F177" s="6" t="s">
        <v>154</v>
      </c>
      <c r="G177" s="6" t="s">
        <v>197</v>
      </c>
      <c r="H177" s="6" t="s">
        <v>979</v>
      </c>
      <c r="I177" s="6" t="s">
        <v>5</v>
      </c>
      <c r="J177" s="29">
        <v>56.158000000000001</v>
      </c>
      <c r="K177" s="8">
        <f t="shared" si="37"/>
        <v>1.7494116325186417</v>
      </c>
      <c r="L177" s="8">
        <f t="shared" si="38"/>
        <v>8.6333393325358934</v>
      </c>
      <c r="M177" s="8"/>
      <c r="N177" s="8"/>
      <c r="O177" s="8">
        <v>4.5209999999999999</v>
      </c>
      <c r="P177" s="8">
        <f>3.094+1.414</f>
        <v>4.508</v>
      </c>
      <c r="Q177" s="8">
        <v>2.234</v>
      </c>
      <c r="R177" s="8">
        <f>0.881+1.03+0.891+0.942</f>
        <v>3.7439999999999998</v>
      </c>
      <c r="S177" s="8">
        <v>5.3120000000000003</v>
      </c>
      <c r="T177" s="8">
        <f>2.493+2.172</f>
        <v>4.665</v>
      </c>
      <c r="U177" s="8"/>
      <c r="V177" s="8">
        <f t="shared" si="47"/>
        <v>0.99712452997124534</v>
      </c>
      <c r="W177" s="8">
        <f>R177/Q177</f>
        <v>1.6759176365264099</v>
      </c>
      <c r="X177" s="8">
        <f>T177/S177</f>
        <v>0.87820030120481929</v>
      </c>
      <c r="Y177" s="31">
        <f t="shared" si="39"/>
        <v>-7.3259070859982955E-2</v>
      </c>
      <c r="Z177" s="31" t="str">
        <f t="shared" si="40"/>
        <v/>
      </c>
      <c r="AA177" s="31">
        <f t="shared" si="41"/>
        <v>-7.3259070859982955E-2</v>
      </c>
    </row>
    <row r="178" spans="1:27" x14ac:dyDescent="0.25">
      <c r="A178" s="6" t="str">
        <f t="shared" si="35"/>
        <v>complete</v>
      </c>
      <c r="B178" s="6" t="s">
        <v>182</v>
      </c>
      <c r="C178" s="6" t="str">
        <f t="shared" si="36"/>
        <v>HC105 428</v>
      </c>
      <c r="D178" s="6" t="s">
        <v>181</v>
      </c>
      <c r="E178" s="20">
        <v>428</v>
      </c>
      <c r="F178" s="6" t="s">
        <v>154</v>
      </c>
      <c r="G178" s="6" t="s">
        <v>198</v>
      </c>
      <c r="H178" s="6" t="s">
        <v>979</v>
      </c>
      <c r="I178" s="6" t="s">
        <v>5</v>
      </c>
      <c r="J178" s="29">
        <v>32.870519999999999</v>
      </c>
      <c r="K178" s="8">
        <f t="shared" si="37"/>
        <v>1.516806574521061</v>
      </c>
      <c r="L178" s="8">
        <f t="shared" si="38"/>
        <v>8.0977463934356475</v>
      </c>
      <c r="M178" s="8">
        <v>1.506</v>
      </c>
      <c r="N178" s="8">
        <v>2.012</v>
      </c>
      <c r="O178" s="8">
        <v>2.2629999999999999</v>
      </c>
      <c r="P178" s="8">
        <f>0.812+1.19+1.057+0.516</f>
        <v>3.5749999999999997</v>
      </c>
      <c r="Q178" s="8"/>
      <c r="R178" s="8"/>
      <c r="S178" s="8">
        <v>1.3540000000000001</v>
      </c>
      <c r="T178" s="8">
        <f>0.688+0.822+0.664</f>
        <v>2.1739999999999999</v>
      </c>
      <c r="U178" s="8">
        <f>N178/M178</f>
        <v>1.3359893758300132</v>
      </c>
      <c r="V178" s="8">
        <f t="shared" si="47"/>
        <v>1.5797613787008395</v>
      </c>
      <c r="W178" s="8"/>
      <c r="X178" s="8">
        <f>T178/S178</f>
        <v>1.6056129985228951</v>
      </c>
      <c r="Y178" s="31">
        <f t="shared" si="39"/>
        <v>-0.17814819360839479</v>
      </c>
      <c r="Z178" s="31" t="str">
        <f t="shared" si="40"/>
        <v/>
      </c>
      <c r="AA178" s="31">
        <f t="shared" si="41"/>
        <v>-0.17814819360839479</v>
      </c>
    </row>
    <row r="179" spans="1:27" x14ac:dyDescent="0.25">
      <c r="A179" s="6" t="str">
        <f t="shared" si="35"/>
        <v>complete</v>
      </c>
      <c r="B179" s="6" t="s">
        <v>182</v>
      </c>
      <c r="C179" s="6" t="str">
        <f t="shared" si="36"/>
        <v>HC105 428</v>
      </c>
      <c r="D179" s="6" t="s">
        <v>181</v>
      </c>
      <c r="E179" s="20">
        <v>428</v>
      </c>
      <c r="F179" s="6" t="s">
        <v>154</v>
      </c>
      <c r="G179" s="6" t="s">
        <v>199</v>
      </c>
      <c r="H179" s="6" t="s">
        <v>979</v>
      </c>
      <c r="I179" s="8" t="s">
        <v>5</v>
      </c>
      <c r="J179" s="29">
        <v>34.44867</v>
      </c>
      <c r="K179" s="8">
        <f t="shared" si="37"/>
        <v>1.5371724592534834</v>
      </c>
      <c r="L179" s="8">
        <f t="shared" si="38"/>
        <v>8.1446405760261591</v>
      </c>
      <c r="M179" s="8">
        <v>2.5960000000000001</v>
      </c>
      <c r="N179" s="8">
        <f>0.981+1.543</f>
        <v>2.524</v>
      </c>
      <c r="O179" s="8">
        <v>1.883</v>
      </c>
      <c r="P179" s="8">
        <f>0.78+1.236+0.786</f>
        <v>2.802</v>
      </c>
      <c r="Q179" s="8"/>
      <c r="R179" s="8"/>
      <c r="S179" s="8"/>
      <c r="T179" s="8"/>
      <c r="U179" s="8">
        <f>N179/M179</f>
        <v>0.97226502311248075</v>
      </c>
      <c r="V179" s="8">
        <f t="shared" si="47"/>
        <v>1.4880509824747743</v>
      </c>
      <c r="W179" s="8"/>
      <c r="X179" s="8"/>
      <c r="Y179" s="31">
        <f t="shared" si="39"/>
        <v>-8.9960896264123943E-2</v>
      </c>
      <c r="Z179" s="31" t="str">
        <f t="shared" si="40"/>
        <v/>
      </c>
      <c r="AA179" s="31">
        <f t="shared" si="41"/>
        <v>-8.9960896264123943E-2</v>
      </c>
    </row>
    <row r="180" spans="1:27" x14ac:dyDescent="0.25">
      <c r="A180" s="6" t="str">
        <f t="shared" si="35"/>
        <v>complete</v>
      </c>
      <c r="B180" s="6" t="s">
        <v>182</v>
      </c>
      <c r="C180" s="6" t="str">
        <f t="shared" si="36"/>
        <v>HC105 428</v>
      </c>
      <c r="D180" s="6" t="s">
        <v>181</v>
      </c>
      <c r="E180" s="20">
        <v>428</v>
      </c>
      <c r="F180" s="6" t="s">
        <v>154</v>
      </c>
      <c r="G180" s="6" t="s">
        <v>200</v>
      </c>
      <c r="H180" s="6" t="s">
        <v>979</v>
      </c>
      <c r="I180" s="6" t="s">
        <v>5</v>
      </c>
      <c r="J180" s="29">
        <v>21.199000000000002</v>
      </c>
      <c r="K180" s="8">
        <f t="shared" si="37"/>
        <v>1.3263153748568166</v>
      </c>
      <c r="L180" s="8">
        <f t="shared" si="38"/>
        <v>7.6591241967422068</v>
      </c>
      <c r="M180" s="8"/>
      <c r="N180" s="8"/>
      <c r="O180" s="8">
        <v>1.0089999999999999</v>
      </c>
      <c r="P180" s="8">
        <f>0.374+0.659+0.553</f>
        <v>1.5859999999999999</v>
      </c>
      <c r="Q180" s="8">
        <v>0.85</v>
      </c>
      <c r="R180" s="8">
        <f>0.502+0.59+0.414</f>
        <v>1.506</v>
      </c>
      <c r="S180" s="8">
        <v>1.7490000000000001</v>
      </c>
      <c r="T180" s="8">
        <f>1.013+0.12+0.976</f>
        <v>2.109</v>
      </c>
      <c r="U180" s="8"/>
      <c r="V180" s="8">
        <f t="shared" si="47"/>
        <v>1.5718533201189298</v>
      </c>
      <c r="W180" s="8">
        <f>R180/Q180</f>
        <v>1.7717647058823529</v>
      </c>
      <c r="X180" s="8">
        <f t="shared" ref="X180:X187" si="48">T180/S180</f>
        <v>1.2058319039451113</v>
      </c>
      <c r="Y180" s="31">
        <f t="shared" si="39"/>
        <v>-0.18083763494173671</v>
      </c>
      <c r="Z180" s="31" t="str">
        <f t="shared" si="40"/>
        <v/>
      </c>
      <c r="AA180" s="31">
        <f t="shared" si="41"/>
        <v>-0.18083763494173671</v>
      </c>
    </row>
    <row r="181" spans="1:27" x14ac:dyDescent="0.25">
      <c r="A181" s="6" t="str">
        <f t="shared" si="35"/>
        <v>complete</v>
      </c>
      <c r="B181" s="6" t="s">
        <v>182</v>
      </c>
      <c r="C181" s="6" t="str">
        <f t="shared" si="36"/>
        <v>HC105 428</v>
      </c>
      <c r="D181" s="6" t="s">
        <v>181</v>
      </c>
      <c r="E181" s="20">
        <v>428</v>
      </c>
      <c r="F181" s="6" t="s">
        <v>154</v>
      </c>
      <c r="G181" s="6" t="s">
        <v>201</v>
      </c>
      <c r="H181" s="6" t="s">
        <v>979</v>
      </c>
      <c r="I181" s="6" t="s">
        <v>5</v>
      </c>
      <c r="J181" s="29">
        <v>24.029</v>
      </c>
      <c r="K181" s="8">
        <f t="shared" si="37"/>
        <v>1.3807356974156912</v>
      </c>
      <c r="L181" s="8">
        <f t="shared" si="38"/>
        <v>7.7844316202221995</v>
      </c>
      <c r="M181" s="8"/>
      <c r="N181" s="8"/>
      <c r="O181" s="8">
        <v>1.369</v>
      </c>
      <c r="P181" s="8">
        <f>0.885+0.983+0.522</f>
        <v>2.3899999999999997</v>
      </c>
      <c r="Q181" s="8">
        <v>0.54800000000000004</v>
      </c>
      <c r="R181" s="8">
        <f>0.517+0.511</f>
        <v>1.028</v>
      </c>
      <c r="S181" s="8">
        <v>1.7430000000000001</v>
      </c>
      <c r="T181" s="8">
        <f>1.693+0.34</f>
        <v>2.0329999999999999</v>
      </c>
      <c r="U181" s="8"/>
      <c r="V181" s="8">
        <f t="shared" si="47"/>
        <v>1.7457998539079618</v>
      </c>
      <c r="W181" s="8">
        <f>R181/Q181</f>
        <v>1.8759124087591239</v>
      </c>
      <c r="X181" s="8">
        <f t="shared" si="48"/>
        <v>1.1663798049340217</v>
      </c>
      <c r="Y181" s="31">
        <f t="shared" si="39"/>
        <v>-0.20304123790583448</v>
      </c>
      <c r="Z181" s="31" t="str">
        <f t="shared" si="40"/>
        <v/>
      </c>
      <c r="AA181" s="31">
        <f t="shared" si="41"/>
        <v>-0.20304123790583448</v>
      </c>
    </row>
    <row r="182" spans="1:27" x14ac:dyDescent="0.25">
      <c r="A182" s="6" t="str">
        <f t="shared" si="35"/>
        <v>complete</v>
      </c>
      <c r="B182" s="6" t="s">
        <v>182</v>
      </c>
      <c r="C182" s="6" t="str">
        <f t="shared" si="36"/>
        <v>HC105 428</v>
      </c>
      <c r="D182" s="6" t="s">
        <v>181</v>
      </c>
      <c r="E182" s="20">
        <v>428</v>
      </c>
      <c r="F182" s="6" t="s">
        <v>154</v>
      </c>
      <c r="G182" s="6" t="s">
        <v>202</v>
      </c>
      <c r="H182" s="6" t="s">
        <v>979</v>
      </c>
      <c r="I182" s="6" t="s">
        <v>5</v>
      </c>
      <c r="J182" s="29">
        <v>49.698999999999998</v>
      </c>
      <c r="K182" s="8">
        <f t="shared" si="37"/>
        <v>1.6963476503258648</v>
      </c>
      <c r="L182" s="8">
        <f t="shared" si="38"/>
        <v>8.511154998163903</v>
      </c>
      <c r="M182" s="8"/>
      <c r="N182" s="8"/>
      <c r="O182" s="8">
        <v>3.5880000000000001</v>
      </c>
      <c r="P182" s="8">
        <f>0.759+1.316+0.597+1.265+1.218</f>
        <v>5.1550000000000002</v>
      </c>
      <c r="Q182" s="8">
        <v>1.1399999999999999</v>
      </c>
      <c r="R182" s="8">
        <f>0.938+0.742</f>
        <v>1.68</v>
      </c>
      <c r="S182" s="8">
        <v>4.1349999999999998</v>
      </c>
      <c r="T182" s="8">
        <f>2.612+0.955</f>
        <v>3.5670000000000002</v>
      </c>
      <c r="U182" s="8"/>
      <c r="V182" s="8">
        <f t="shared" si="47"/>
        <v>1.4367335562987738</v>
      </c>
      <c r="W182" s="8">
        <f>R182/Q182</f>
        <v>1.4736842105263159</v>
      </c>
      <c r="X182" s="8">
        <f t="shared" si="48"/>
        <v>0.86263603385731569</v>
      </c>
      <c r="Y182" s="31">
        <f t="shared" si="39"/>
        <v>-9.9571743212026192E-2</v>
      </c>
      <c r="Z182" s="31" t="str">
        <f t="shared" si="40"/>
        <v/>
      </c>
      <c r="AA182" s="31">
        <f t="shared" si="41"/>
        <v>-9.9571743212026192E-2</v>
      </c>
    </row>
    <row r="183" spans="1:27" x14ac:dyDescent="0.25">
      <c r="A183" s="6" t="str">
        <f t="shared" si="35"/>
        <v>complete</v>
      </c>
      <c r="B183" s="6" t="s">
        <v>182</v>
      </c>
      <c r="C183" s="6" t="str">
        <f t="shared" si="36"/>
        <v>HC105 428</v>
      </c>
      <c r="D183" s="6" t="s">
        <v>181</v>
      </c>
      <c r="E183" s="20">
        <v>428</v>
      </c>
      <c r="F183" s="6" t="s">
        <v>154</v>
      </c>
      <c r="G183" s="6" t="s">
        <v>203</v>
      </c>
      <c r="H183" s="6" t="s">
        <v>979</v>
      </c>
      <c r="I183" s="6" t="s">
        <v>5</v>
      </c>
      <c r="J183" s="29">
        <v>58.347180000000002</v>
      </c>
      <c r="K183" s="8">
        <f t="shared" si="37"/>
        <v>1.7660198708349544</v>
      </c>
      <c r="L183" s="8">
        <f t="shared" si="38"/>
        <v>8.6715812145039273</v>
      </c>
      <c r="M183" s="8">
        <v>2.8919999999999999</v>
      </c>
      <c r="N183" s="8">
        <f>1.162+1.86</f>
        <v>3.0220000000000002</v>
      </c>
      <c r="O183" s="8">
        <v>4.2480000000000002</v>
      </c>
      <c r="P183" s="8">
        <f>1.615+0.848+1.56+1.415</f>
        <v>5.4379999999999997</v>
      </c>
      <c r="Q183" s="8">
        <v>1.3120000000000001</v>
      </c>
      <c r="R183" s="8">
        <f>0.848+0.755</f>
        <v>1.603</v>
      </c>
      <c r="S183" s="8">
        <v>5.7160000000000002</v>
      </c>
      <c r="T183" s="8">
        <f>1.615+0.848+1.56+1.415</f>
        <v>5.4379999999999997</v>
      </c>
      <c r="U183" s="8">
        <f>N183/M183</f>
        <v>1.0449515905947442</v>
      </c>
      <c r="V183" s="8">
        <f t="shared" si="47"/>
        <v>1.2801318267419961</v>
      </c>
      <c r="W183" s="8">
        <f>R183/Q183</f>
        <v>1.2217987804878048</v>
      </c>
      <c r="X183" s="8">
        <f t="shared" si="48"/>
        <v>0.95136459062281309</v>
      </c>
      <c r="Y183" s="31">
        <f t="shared" si="39"/>
        <v>-5.0983287232909534E-2</v>
      </c>
      <c r="Z183" s="31" t="str">
        <f t="shared" si="40"/>
        <v/>
      </c>
      <c r="AA183" s="31">
        <f t="shared" si="41"/>
        <v>-5.0983287232909534E-2</v>
      </c>
    </row>
    <row r="184" spans="1:27" x14ac:dyDescent="0.25">
      <c r="A184" s="6" t="str">
        <f t="shared" si="35"/>
        <v>complete</v>
      </c>
      <c r="B184" s="6" t="s">
        <v>182</v>
      </c>
      <c r="C184" s="6" t="str">
        <f t="shared" si="36"/>
        <v>HC105 428</v>
      </c>
      <c r="D184" s="6" t="s">
        <v>181</v>
      </c>
      <c r="E184" s="20">
        <v>428</v>
      </c>
      <c r="F184" s="6" t="s">
        <v>154</v>
      </c>
      <c r="G184" s="6" t="s">
        <v>204</v>
      </c>
      <c r="H184" s="6" t="s">
        <v>979</v>
      </c>
      <c r="I184" s="6" t="s">
        <v>5</v>
      </c>
      <c r="J184" s="29">
        <v>20.40718</v>
      </c>
      <c r="K184" s="8">
        <f t="shared" si="37"/>
        <v>1.3097829951592654</v>
      </c>
      <c r="L184" s="8">
        <f t="shared" si="38"/>
        <v>7.6210569856989085</v>
      </c>
      <c r="M184" s="8"/>
      <c r="N184" s="8"/>
      <c r="O184" s="8">
        <v>1.367</v>
      </c>
      <c r="P184" s="8">
        <f>0.538+0.988+0.208+0.481</f>
        <v>2.2149999999999999</v>
      </c>
      <c r="Q184" s="8"/>
      <c r="R184" s="8"/>
      <c r="S184" s="8">
        <v>1.2270000000000001</v>
      </c>
      <c r="T184" s="8">
        <f>1.242+0.857</f>
        <v>2.0990000000000002</v>
      </c>
      <c r="U184" s="8"/>
      <c r="V184" s="8">
        <f t="shared" si="47"/>
        <v>1.6203365032918799</v>
      </c>
      <c r="W184" s="8"/>
      <c r="X184" s="8">
        <f t="shared" si="48"/>
        <v>1.7106764466177669</v>
      </c>
      <c r="Y184" s="31">
        <f t="shared" si="39"/>
        <v>-0.22154632542808678</v>
      </c>
      <c r="Z184" s="31" t="str">
        <f t="shared" si="40"/>
        <v/>
      </c>
      <c r="AA184" s="31">
        <f t="shared" si="41"/>
        <v>-0.22154632542808678</v>
      </c>
    </row>
    <row r="185" spans="1:27" x14ac:dyDescent="0.25">
      <c r="A185" s="6" t="str">
        <f t="shared" si="35"/>
        <v>complete</v>
      </c>
      <c r="B185" s="6" t="s">
        <v>182</v>
      </c>
      <c r="C185" s="6" t="str">
        <f t="shared" si="36"/>
        <v>HC105 428</v>
      </c>
      <c r="D185" s="6" t="s">
        <v>181</v>
      </c>
      <c r="E185" s="20">
        <v>428</v>
      </c>
      <c r="F185" s="6" t="s">
        <v>154</v>
      </c>
      <c r="G185" s="6" t="s">
        <v>205</v>
      </c>
      <c r="H185" s="6" t="s">
        <v>979</v>
      </c>
      <c r="I185" s="6" t="s">
        <v>5</v>
      </c>
      <c r="J185" s="29">
        <v>9.2829999999999995</v>
      </c>
      <c r="K185" s="8">
        <f t="shared" si="37"/>
        <v>0.96768835045331258</v>
      </c>
      <c r="L185" s="8">
        <f t="shared" si="38"/>
        <v>6.8333549564058869</v>
      </c>
      <c r="M185" s="8">
        <v>0.47399999999999998</v>
      </c>
      <c r="N185" s="8">
        <f>0.408+0.203</f>
        <v>0.61099999999999999</v>
      </c>
      <c r="O185" s="8">
        <v>0.434</v>
      </c>
      <c r="P185" s="8">
        <f>0.252+0.405+0.347</f>
        <v>1.004</v>
      </c>
      <c r="Q185" s="8"/>
      <c r="R185" s="8"/>
      <c r="S185" s="8">
        <v>0.29899999999999999</v>
      </c>
      <c r="T185" s="8">
        <v>0.626</v>
      </c>
      <c r="U185" s="8">
        <f>N185/M185</f>
        <v>1.289029535864979</v>
      </c>
      <c r="V185" s="8">
        <f t="shared" si="47"/>
        <v>2.3133640552995391</v>
      </c>
      <c r="W185" s="8"/>
      <c r="X185" s="8">
        <f t="shared" si="48"/>
        <v>2.0936454849498327</v>
      </c>
      <c r="Y185" s="31">
        <f t="shared" si="39"/>
        <v>-0.27845170527757601</v>
      </c>
      <c r="Z185" s="31" t="str">
        <f t="shared" si="40"/>
        <v/>
      </c>
      <c r="AA185" s="31">
        <f t="shared" si="41"/>
        <v>-0.27845170527757601</v>
      </c>
    </row>
    <row r="186" spans="1:27" x14ac:dyDescent="0.25">
      <c r="A186" s="6" t="str">
        <f t="shared" si="35"/>
        <v>complete</v>
      </c>
      <c r="B186" s="6" t="s">
        <v>182</v>
      </c>
      <c r="C186" s="6" t="str">
        <f t="shared" si="36"/>
        <v>HC105 428</v>
      </c>
      <c r="D186" s="6" t="s">
        <v>181</v>
      </c>
      <c r="E186" s="20">
        <v>428</v>
      </c>
      <c r="F186" s="6" t="s">
        <v>154</v>
      </c>
      <c r="G186" s="6" t="s">
        <v>206</v>
      </c>
      <c r="H186" s="6" t="s">
        <v>979</v>
      </c>
      <c r="I186" s="6" t="s">
        <v>5</v>
      </c>
      <c r="J186" s="29">
        <v>33.030999999999999</v>
      </c>
      <c r="K186" s="8">
        <f t="shared" si="37"/>
        <v>1.5189217219780564</v>
      </c>
      <c r="L186" s="8">
        <f t="shared" si="38"/>
        <v>8.1026167004396097</v>
      </c>
      <c r="M186" s="8"/>
      <c r="N186" s="8"/>
      <c r="O186" s="8">
        <v>1.415</v>
      </c>
      <c r="P186" s="8">
        <f>0.762+0.674+0.331</f>
        <v>1.7669999999999999</v>
      </c>
      <c r="Q186" s="8">
        <v>0.29799999999999999</v>
      </c>
      <c r="R186" s="8">
        <f>0.159+0.327+0.171</f>
        <v>0.65700000000000003</v>
      </c>
      <c r="S186" s="8">
        <v>1.649</v>
      </c>
      <c r="T186" s="8">
        <f>0.447+0.834+1.113+0.419</f>
        <v>2.8130000000000002</v>
      </c>
      <c r="U186" s="8"/>
      <c r="V186" s="8">
        <f t="shared" si="47"/>
        <v>1.2487632508833921</v>
      </c>
      <c r="W186" s="8">
        <f>R186/Q186</f>
        <v>2.2046979865771812</v>
      </c>
      <c r="X186" s="8">
        <f t="shared" si="48"/>
        <v>1.7058823529411766</v>
      </c>
      <c r="Y186" s="31">
        <f t="shared" si="39"/>
        <v>-0.2354731962873374</v>
      </c>
      <c r="Z186" s="31" t="str">
        <f t="shared" si="40"/>
        <v/>
      </c>
      <c r="AA186" s="31">
        <f t="shared" si="41"/>
        <v>-0.2354731962873374</v>
      </c>
    </row>
    <row r="187" spans="1:27" x14ac:dyDescent="0.25">
      <c r="A187" s="6" t="str">
        <f t="shared" si="35"/>
        <v>complete</v>
      </c>
      <c r="B187" s="6" t="s">
        <v>182</v>
      </c>
      <c r="C187" s="6" t="str">
        <f t="shared" si="36"/>
        <v>HC105 428</v>
      </c>
      <c r="D187" s="6" t="s">
        <v>181</v>
      </c>
      <c r="E187" s="20">
        <v>428</v>
      </c>
      <c r="F187" s="6" t="s">
        <v>154</v>
      </c>
      <c r="G187" s="6" t="s">
        <v>207</v>
      </c>
      <c r="H187" s="6" t="s">
        <v>979</v>
      </c>
      <c r="I187" s="6" t="s">
        <v>5</v>
      </c>
      <c r="J187" s="29">
        <v>26.288</v>
      </c>
      <c r="K187" s="8">
        <f t="shared" si="37"/>
        <v>1.4197575460909866</v>
      </c>
      <c r="L187" s="8">
        <f t="shared" si="38"/>
        <v>7.8742827472830035</v>
      </c>
      <c r="M187" s="8"/>
      <c r="N187" s="8"/>
      <c r="O187" s="8">
        <v>2.327</v>
      </c>
      <c r="P187" s="8">
        <f>0.585+1.011+0.95+0.976+0.324+0.595</f>
        <v>4.4409999999999998</v>
      </c>
      <c r="Q187" s="8"/>
      <c r="R187" s="8"/>
      <c r="S187" s="8">
        <v>2.9340000000000002</v>
      </c>
      <c r="T187" s="8">
        <f>0.486+1.561+1.695+0.941</f>
        <v>4.6829999999999998</v>
      </c>
      <c r="U187" s="8"/>
      <c r="V187" s="8">
        <f t="shared" si="47"/>
        <v>1.9084658358401374</v>
      </c>
      <c r="W187" s="8"/>
      <c r="X187" s="8">
        <f t="shared" si="48"/>
        <v>1.5961145194274027</v>
      </c>
      <c r="Y187" s="31">
        <f t="shared" si="39"/>
        <v>-0.24360602655234365</v>
      </c>
      <c r="Z187" s="31" t="str">
        <f t="shared" si="40"/>
        <v/>
      </c>
      <c r="AA187" s="31">
        <f t="shared" si="41"/>
        <v>-0.24360602655234365</v>
      </c>
    </row>
    <row r="188" spans="1:27" x14ac:dyDescent="0.25">
      <c r="A188" s="6" t="str">
        <f t="shared" si="35"/>
        <v>complete</v>
      </c>
      <c r="B188" s="6" t="s">
        <v>182</v>
      </c>
      <c r="C188" s="6" t="str">
        <f t="shared" si="36"/>
        <v>HC105 428</v>
      </c>
      <c r="D188" s="6" t="s">
        <v>181</v>
      </c>
      <c r="E188" s="20">
        <v>428</v>
      </c>
      <c r="F188" s="6" t="s">
        <v>154</v>
      </c>
      <c r="G188" s="6" t="s">
        <v>208</v>
      </c>
      <c r="H188" s="6" t="s">
        <v>979</v>
      </c>
      <c r="I188" s="6" t="s">
        <v>5</v>
      </c>
      <c r="J188" s="29">
        <v>81.84</v>
      </c>
      <c r="K188" s="8">
        <f t="shared" si="37"/>
        <v>1.9129656207041037</v>
      </c>
      <c r="L188" s="8">
        <f t="shared" si="38"/>
        <v>9.0099363076314631</v>
      </c>
      <c r="M188" s="8">
        <v>4.0380000000000003</v>
      </c>
      <c r="N188" s="8">
        <f>1.177+1.741</f>
        <v>2.9180000000000001</v>
      </c>
      <c r="O188" s="8">
        <v>8.4860000000000007</v>
      </c>
      <c r="P188" s="8">
        <f>1.54+1.926+2.108+0.762</f>
        <v>6.3360000000000003</v>
      </c>
      <c r="Q188" s="8">
        <v>1.538</v>
      </c>
      <c r="R188" s="8">
        <f>0.831+0.87+0.637</f>
        <v>2.3380000000000001</v>
      </c>
      <c r="S188" s="8"/>
      <c r="T188" s="8"/>
      <c r="U188" s="8">
        <f>N188/M188</f>
        <v>0.72263496780584446</v>
      </c>
      <c r="V188" s="8">
        <f t="shared" si="47"/>
        <v>0.74664152722130561</v>
      </c>
      <c r="W188" s="8">
        <f>R188/Q188</f>
        <v>1.5201560468140443</v>
      </c>
      <c r="X188" s="8"/>
      <c r="Y188" s="31">
        <f t="shared" si="39"/>
        <v>1.5324969423107728E-3</v>
      </c>
      <c r="Z188" s="31" t="str">
        <f t="shared" si="40"/>
        <v/>
      </c>
      <c r="AA188" s="31">
        <f t="shared" si="41"/>
        <v>1.5324969423107728E-3</v>
      </c>
    </row>
    <row r="189" spans="1:27" x14ac:dyDescent="0.25">
      <c r="A189" s="6" t="str">
        <f t="shared" si="35"/>
        <v>complete</v>
      </c>
      <c r="B189" s="6" t="s">
        <v>182</v>
      </c>
      <c r="C189" s="6" t="str">
        <f t="shared" si="36"/>
        <v>HC105 428</v>
      </c>
      <c r="D189" s="6" t="s">
        <v>181</v>
      </c>
      <c r="E189" s="20">
        <v>428</v>
      </c>
      <c r="F189" s="6" t="s">
        <v>154</v>
      </c>
      <c r="G189" s="6" t="s">
        <v>209</v>
      </c>
      <c r="H189" s="6" t="s">
        <v>979</v>
      </c>
      <c r="I189" s="6" t="s">
        <v>5</v>
      </c>
      <c r="J189" s="29">
        <f>17.36*2</f>
        <v>34.72</v>
      </c>
      <c r="K189" s="8">
        <f t="shared" si="37"/>
        <v>1.5405797165044544</v>
      </c>
      <c r="L189" s="8">
        <f t="shared" si="38"/>
        <v>8.1524860757802404</v>
      </c>
      <c r="M189" s="8"/>
      <c r="N189" s="8"/>
      <c r="O189" s="8">
        <v>3.113</v>
      </c>
      <c r="P189" s="8">
        <f>1.092+1.393+1.06</f>
        <v>3.5450000000000004</v>
      </c>
      <c r="Q189" s="8"/>
      <c r="R189" s="8"/>
      <c r="S189" s="8">
        <v>1.897</v>
      </c>
      <c r="T189" s="8">
        <f>1.225+1.34+0.118</f>
        <v>2.6830000000000003</v>
      </c>
      <c r="U189" s="8"/>
      <c r="V189" s="8">
        <f t="shared" si="47"/>
        <v>1.1387728878894958</v>
      </c>
      <c r="W189" s="8"/>
      <c r="X189" s="8">
        <f>T189/S189</f>
        <v>1.4143384290985768</v>
      </c>
      <c r="Y189" s="31">
        <f t="shared" si="39"/>
        <v>-0.10603975501951989</v>
      </c>
      <c r="Z189" s="31" t="str">
        <f t="shared" si="40"/>
        <v/>
      </c>
      <c r="AA189" s="31">
        <f t="shared" si="41"/>
        <v>-0.10603975501951989</v>
      </c>
    </row>
    <row r="190" spans="1:27" x14ac:dyDescent="0.25">
      <c r="A190" s="6" t="str">
        <f t="shared" si="35"/>
        <v>fragment</v>
      </c>
      <c r="B190" s="6" t="s">
        <v>182</v>
      </c>
      <c r="C190" s="6" t="str">
        <f t="shared" si="36"/>
        <v>HC105 428</v>
      </c>
      <c r="D190" s="6" t="s">
        <v>181</v>
      </c>
      <c r="E190" s="20">
        <v>428</v>
      </c>
      <c r="F190" s="6" t="s">
        <v>154</v>
      </c>
      <c r="G190" s="6" t="s">
        <v>210</v>
      </c>
      <c r="H190" s="6" t="s">
        <v>979</v>
      </c>
      <c r="I190" s="6" t="s">
        <v>5</v>
      </c>
      <c r="J190" s="29"/>
      <c r="K190" s="8" t="str">
        <f t="shared" si="37"/>
        <v/>
      </c>
      <c r="L190" s="8" t="str">
        <f t="shared" si="38"/>
        <v/>
      </c>
      <c r="M190" s="8"/>
      <c r="N190" s="8"/>
      <c r="O190" s="8">
        <v>1.0229999999999999</v>
      </c>
      <c r="P190" s="8">
        <f>0.753+0.554</f>
        <v>1.3069999999999999</v>
      </c>
      <c r="Q190" s="8"/>
      <c r="R190" s="8"/>
      <c r="S190" s="8">
        <v>2.1949999999999998</v>
      </c>
      <c r="T190" s="8">
        <f>1.405+0.725</f>
        <v>2.13</v>
      </c>
      <c r="U190" s="8"/>
      <c r="V190" s="8">
        <f t="shared" si="47"/>
        <v>1.2776148582600195</v>
      </c>
      <c r="W190" s="8"/>
      <c r="X190" s="8">
        <f>T190/S190</f>
        <v>0.97038724373576313</v>
      </c>
      <c r="Y190" s="31">
        <f t="shared" si="39"/>
        <v>-5.0766717320561212E-2</v>
      </c>
      <c r="Z190" s="31">
        <f t="shared" si="40"/>
        <v>-5.0766717320561212E-2</v>
      </c>
      <c r="AA190" s="31" t="str">
        <f t="shared" si="41"/>
        <v/>
      </c>
    </row>
    <row r="191" spans="1:27" x14ac:dyDescent="0.25">
      <c r="A191" s="6" t="str">
        <f t="shared" si="35"/>
        <v>complete</v>
      </c>
      <c r="B191" s="6" t="s">
        <v>182</v>
      </c>
      <c r="C191" s="6" t="str">
        <f t="shared" si="36"/>
        <v>HC105 428</v>
      </c>
      <c r="D191" s="6" t="s">
        <v>181</v>
      </c>
      <c r="E191" s="20">
        <v>428</v>
      </c>
      <c r="F191" s="6" t="s">
        <v>154</v>
      </c>
      <c r="G191" s="6" t="s">
        <v>211</v>
      </c>
      <c r="H191" s="6" t="s">
        <v>979</v>
      </c>
      <c r="I191" s="6" t="s">
        <v>5</v>
      </c>
      <c r="J191" s="29">
        <v>48.91</v>
      </c>
      <c r="K191" s="8">
        <f t="shared" si="37"/>
        <v>1.6893976628212823</v>
      </c>
      <c r="L191" s="8">
        <f t="shared" si="38"/>
        <v>8.4951520605393576</v>
      </c>
      <c r="M191" s="8">
        <v>2.4159999999999999</v>
      </c>
      <c r="N191" s="8">
        <f>1.068+1.091+0.93</f>
        <v>3.089</v>
      </c>
      <c r="O191" s="8">
        <v>4.4489999999999998</v>
      </c>
      <c r="P191" s="8">
        <f>1.297+1.724+0.593+1.221</f>
        <v>4.835</v>
      </c>
      <c r="Q191" s="8"/>
      <c r="R191" s="8"/>
      <c r="S191" s="8">
        <v>1.593</v>
      </c>
      <c r="T191" s="8">
        <f>0.92+0.641</f>
        <v>1.5609999999999999</v>
      </c>
      <c r="U191" s="8">
        <f>N191/M191</f>
        <v>1.2785596026490067</v>
      </c>
      <c r="V191" s="8">
        <f t="shared" si="47"/>
        <v>1.0867610699033492</v>
      </c>
      <c r="W191" s="8"/>
      <c r="X191" s="8">
        <f>T191/S191</f>
        <v>0.97991211550533586</v>
      </c>
      <c r="Y191" s="31">
        <f t="shared" si="39"/>
        <v>-4.7305090119965192E-2</v>
      </c>
      <c r="Z191" s="31" t="str">
        <f t="shared" si="40"/>
        <v/>
      </c>
      <c r="AA191" s="31">
        <f t="shared" si="41"/>
        <v>-4.7305090119965192E-2</v>
      </c>
    </row>
    <row r="192" spans="1:27" x14ac:dyDescent="0.25">
      <c r="A192" s="6" t="str">
        <f t="shared" si="35"/>
        <v>complete</v>
      </c>
      <c r="B192" s="6" t="s">
        <v>182</v>
      </c>
      <c r="C192" s="6" t="str">
        <f t="shared" si="36"/>
        <v>HC105 428</v>
      </c>
      <c r="D192" s="6" t="s">
        <v>181</v>
      </c>
      <c r="E192" s="20">
        <v>428</v>
      </c>
      <c r="F192" s="6" t="s">
        <v>154</v>
      </c>
      <c r="G192" s="6" t="s">
        <v>212</v>
      </c>
      <c r="H192" s="6" t="s">
        <v>979</v>
      </c>
      <c r="I192" s="6" t="s">
        <v>5</v>
      </c>
      <c r="J192" s="29">
        <v>15.159549999999999</v>
      </c>
      <c r="K192" s="8">
        <f t="shared" si="37"/>
        <v>1.1806863097777325</v>
      </c>
      <c r="L192" s="8">
        <f t="shared" si="38"/>
        <v>7.3238008823844485</v>
      </c>
      <c r="M192" s="8"/>
      <c r="N192" s="8"/>
      <c r="O192" s="8">
        <v>1.107</v>
      </c>
      <c r="P192" s="8">
        <f>0.257+0.69+0.674+0.564</f>
        <v>2.1850000000000001</v>
      </c>
      <c r="Q192" s="8"/>
      <c r="R192" s="8"/>
      <c r="S192" s="8">
        <v>0.64600000000000002</v>
      </c>
      <c r="T192" s="8">
        <f>0.713+0.284</f>
        <v>0.99699999999999989</v>
      </c>
      <c r="U192" s="8"/>
      <c r="V192" s="8">
        <f t="shared" si="47"/>
        <v>1.9738030713640471</v>
      </c>
      <c r="W192" s="8"/>
      <c r="X192" s="8">
        <f>T192/S192</f>
        <v>1.5433436532507738</v>
      </c>
      <c r="Y192" s="31">
        <f t="shared" si="39"/>
        <v>-0.24516049046968599</v>
      </c>
      <c r="Z192" s="31" t="str">
        <f t="shared" si="40"/>
        <v/>
      </c>
      <c r="AA192" s="31">
        <f t="shared" si="41"/>
        <v>-0.24516049046968599</v>
      </c>
    </row>
    <row r="193" spans="1:27" x14ac:dyDescent="0.25">
      <c r="A193" s="6" t="str">
        <f t="shared" si="35"/>
        <v>complete</v>
      </c>
      <c r="B193" s="6" t="s">
        <v>182</v>
      </c>
      <c r="C193" s="6" t="str">
        <f t="shared" si="36"/>
        <v>HC105 428</v>
      </c>
      <c r="D193" s="6" t="s">
        <v>181</v>
      </c>
      <c r="E193" s="20">
        <v>428</v>
      </c>
      <c r="F193" s="6" t="s">
        <v>154</v>
      </c>
      <c r="G193" s="6" t="s">
        <v>213</v>
      </c>
      <c r="H193" s="6" t="s">
        <v>979</v>
      </c>
      <c r="I193" s="6" t="s">
        <v>5</v>
      </c>
      <c r="J193" s="29">
        <v>57.34</v>
      </c>
      <c r="K193" s="8">
        <f t="shared" si="37"/>
        <v>1.7584576886104657</v>
      </c>
      <c r="L193" s="8">
        <f t="shared" si="38"/>
        <v>8.6541686464433152</v>
      </c>
      <c r="M193" s="8">
        <v>2.0310000000000001</v>
      </c>
      <c r="N193" s="8">
        <f>0.809+1.167</f>
        <v>1.976</v>
      </c>
      <c r="O193" s="8">
        <v>2.214</v>
      </c>
      <c r="P193" s="8">
        <f>1.308+0.553+1.017</f>
        <v>2.8780000000000001</v>
      </c>
      <c r="Q193" s="8"/>
      <c r="R193" s="8"/>
      <c r="S193" s="8">
        <v>4.7640000000000002</v>
      </c>
      <c r="T193" s="8">
        <f>1.522+2.321+0.86</f>
        <v>4.7030000000000003</v>
      </c>
      <c r="U193" s="8">
        <f>N193/M193</f>
        <v>0.97291974396848835</v>
      </c>
      <c r="V193" s="8">
        <f t="shared" si="47"/>
        <v>1.2999096657633245</v>
      </c>
      <c r="W193" s="8"/>
      <c r="X193" s="8">
        <f>T193/S193</f>
        <v>0.98719563392107479</v>
      </c>
      <c r="Y193" s="31">
        <f t="shared" si="39"/>
        <v>-3.6099681630018712E-2</v>
      </c>
      <c r="Z193" s="31" t="str">
        <f t="shared" si="40"/>
        <v/>
      </c>
      <c r="AA193" s="31">
        <f t="shared" si="41"/>
        <v>-3.6099681630018712E-2</v>
      </c>
    </row>
    <row r="194" spans="1:27" x14ac:dyDescent="0.25">
      <c r="A194" s="6" t="str">
        <f t="shared" ref="A194:A257" si="49">IF(J194&gt;0,"complete","fragment")</f>
        <v>complete</v>
      </c>
      <c r="B194" s="6" t="s">
        <v>182</v>
      </c>
      <c r="C194" s="6" t="str">
        <f t="shared" ref="C194:C257" si="50">D194&amp;" "&amp;E194</f>
        <v>HC105 428</v>
      </c>
      <c r="D194" s="6" t="s">
        <v>181</v>
      </c>
      <c r="E194" s="20">
        <v>428</v>
      </c>
      <c r="F194" s="6" t="s">
        <v>154</v>
      </c>
      <c r="G194" s="6" t="s">
        <v>214</v>
      </c>
      <c r="H194" s="6" t="s">
        <v>979</v>
      </c>
      <c r="I194" s="6" t="s">
        <v>5</v>
      </c>
      <c r="J194" s="29">
        <v>15.523</v>
      </c>
      <c r="K194" s="8">
        <f t="shared" ref="K194:K257" si="51">IF(J194&gt;0,LOG(J194),"")</f>
        <v>1.1909756574852444</v>
      </c>
      <c r="L194" s="8">
        <f t="shared" ref="L194:L257" si="52">IF(J194&gt;0,LN(J194*100),"")</f>
        <v>7.3474929810323975</v>
      </c>
      <c r="M194" s="8"/>
      <c r="N194" s="8"/>
      <c r="O194" s="8">
        <v>0.88400000000000001</v>
      </c>
      <c r="P194" s="8">
        <f>0.359+0.649+0.329</f>
        <v>1.337</v>
      </c>
      <c r="Q194" s="8">
        <v>0.54600000000000004</v>
      </c>
      <c r="R194" s="8">
        <f>0.208+0.48+0.471</f>
        <v>1.1589999999999998</v>
      </c>
      <c r="S194" s="8"/>
      <c r="T194" s="8"/>
      <c r="U194" s="8"/>
      <c r="V194" s="8">
        <f t="shared" si="47"/>
        <v>1.5124434389140271</v>
      </c>
      <c r="W194" s="8">
        <f>R194/Q194</f>
        <v>2.1227106227106223</v>
      </c>
      <c r="X194" s="8"/>
      <c r="Y194" s="31">
        <f t="shared" ref="Y194:Y257" si="53">IF(COUNT(U194:X194)&gt;0,LOG(1/AVERAGE(U194:X194)),"")</f>
        <v>-0.25949282577471244</v>
      </c>
      <c r="Z194" s="31" t="str">
        <f t="shared" ref="Z194:Z257" si="54">IF(A194="fragment",IF(ISNUMBER(Y194)=TRUE,Y194,""),"")</f>
        <v/>
      </c>
      <c r="AA194" s="31">
        <f t="shared" ref="AA194:AA257" si="55">IF(A194="complete",IF(ISNUMBER(Y194)=TRUE,Y194,""),"")</f>
        <v>-0.25949282577471244</v>
      </c>
    </row>
    <row r="195" spans="1:27" x14ac:dyDescent="0.25">
      <c r="A195" s="6" t="str">
        <f t="shared" si="49"/>
        <v>fragment</v>
      </c>
      <c r="B195" s="6" t="s">
        <v>182</v>
      </c>
      <c r="C195" s="6" t="str">
        <f t="shared" si="50"/>
        <v>HC105 428</v>
      </c>
      <c r="D195" s="6" t="s">
        <v>181</v>
      </c>
      <c r="E195" s="20">
        <v>428</v>
      </c>
      <c r="F195" s="6" t="s">
        <v>154</v>
      </c>
      <c r="G195" s="6" t="s">
        <v>215</v>
      </c>
      <c r="H195" s="6" t="s">
        <v>979</v>
      </c>
      <c r="I195" s="6" t="s">
        <v>5</v>
      </c>
      <c r="J195" s="29"/>
      <c r="K195" s="8" t="str">
        <f t="shared" si="51"/>
        <v/>
      </c>
      <c r="L195" s="8" t="str">
        <f t="shared" si="52"/>
        <v/>
      </c>
      <c r="M195" s="8">
        <v>1.0960000000000001</v>
      </c>
      <c r="N195" s="8">
        <f>0.537+0.569</f>
        <v>1.1059999999999999</v>
      </c>
      <c r="O195" s="8">
        <v>0.63700000000000001</v>
      </c>
      <c r="P195" s="8">
        <f>0.786+0.361+0.414</f>
        <v>1.5609999999999999</v>
      </c>
      <c r="Q195" s="8"/>
      <c r="R195" s="8"/>
      <c r="S195" s="8">
        <v>2.484</v>
      </c>
      <c r="T195" s="8">
        <f>1.71+1.015</f>
        <v>2.7249999999999996</v>
      </c>
      <c r="U195" s="8">
        <f>N195/M195</f>
        <v>1.0091240875912406</v>
      </c>
      <c r="V195" s="8">
        <f t="shared" si="47"/>
        <v>2.4505494505494503</v>
      </c>
      <c r="W195" s="8"/>
      <c r="X195" s="8">
        <f t="shared" ref="X195:X208" si="56">T195/S195</f>
        <v>1.0970209339774555</v>
      </c>
      <c r="Y195" s="31">
        <f t="shared" si="53"/>
        <v>-0.18152865524933873</v>
      </c>
      <c r="Z195" s="31">
        <f t="shared" si="54"/>
        <v>-0.18152865524933873</v>
      </c>
      <c r="AA195" s="31" t="str">
        <f t="shared" si="55"/>
        <v/>
      </c>
    </row>
    <row r="196" spans="1:27" x14ac:dyDescent="0.25">
      <c r="A196" s="6" t="str">
        <f t="shared" si="49"/>
        <v>complete</v>
      </c>
      <c r="B196" s="6" t="s">
        <v>182</v>
      </c>
      <c r="C196" s="6" t="str">
        <f t="shared" si="50"/>
        <v>HC105 428</v>
      </c>
      <c r="D196" s="6" t="s">
        <v>181</v>
      </c>
      <c r="E196" s="20">
        <v>428</v>
      </c>
      <c r="F196" s="6" t="s">
        <v>154</v>
      </c>
      <c r="G196" s="6" t="s">
        <v>216</v>
      </c>
      <c r="H196" s="6" t="s">
        <v>979</v>
      </c>
      <c r="I196" s="6" t="s">
        <v>5</v>
      </c>
      <c r="J196" s="29">
        <v>30.108000000000001</v>
      </c>
      <c r="K196" s="8">
        <f t="shared" si="51"/>
        <v>1.4786819073622353</v>
      </c>
      <c r="L196" s="8">
        <f t="shared" si="52"/>
        <v>8.0099611031603768</v>
      </c>
      <c r="M196" s="8"/>
      <c r="N196" s="8"/>
      <c r="O196" s="8">
        <v>1.7669999999999999</v>
      </c>
      <c r="P196" s="8">
        <f>0.884+0.565+1.043+0.206+0.669</f>
        <v>3.367</v>
      </c>
      <c r="Q196" s="8"/>
      <c r="R196" s="8"/>
      <c r="S196" s="8">
        <v>2.2189999999999999</v>
      </c>
      <c r="T196" s="8">
        <f>1.388+0.933</f>
        <v>2.3209999999999997</v>
      </c>
      <c r="U196" s="8"/>
      <c r="V196" s="8">
        <f t="shared" si="47"/>
        <v>1.9054895302773063</v>
      </c>
      <c r="W196" s="8"/>
      <c r="X196" s="8">
        <f t="shared" si="56"/>
        <v>1.0459666516448851</v>
      </c>
      <c r="Y196" s="31">
        <f t="shared" si="53"/>
        <v>-0.16900634429348271</v>
      </c>
      <c r="Z196" s="31" t="str">
        <f t="shared" si="54"/>
        <v/>
      </c>
      <c r="AA196" s="31">
        <f t="shared" si="55"/>
        <v>-0.16900634429348271</v>
      </c>
    </row>
    <row r="197" spans="1:27" x14ac:dyDescent="0.25">
      <c r="A197" s="6" t="str">
        <f t="shared" si="49"/>
        <v>complete</v>
      </c>
      <c r="B197" s="6" t="s">
        <v>182</v>
      </c>
      <c r="C197" s="6" t="str">
        <f t="shared" si="50"/>
        <v>HC105 428</v>
      </c>
      <c r="D197" s="6" t="s">
        <v>181</v>
      </c>
      <c r="E197" s="20">
        <v>428</v>
      </c>
      <c r="F197" s="6" t="s">
        <v>154</v>
      </c>
      <c r="G197" s="6" t="s">
        <v>217</v>
      </c>
      <c r="H197" s="6" t="s">
        <v>979</v>
      </c>
      <c r="I197" s="6" t="s">
        <v>5</v>
      </c>
      <c r="J197" s="29">
        <v>34.353999999999999</v>
      </c>
      <c r="K197" s="8">
        <f t="shared" si="51"/>
        <v>1.5359773113166677</v>
      </c>
      <c r="L197" s="8">
        <f t="shared" si="52"/>
        <v>8.1418886462029256</v>
      </c>
      <c r="M197" s="8"/>
      <c r="N197" s="8"/>
      <c r="O197" s="8">
        <v>2.294</v>
      </c>
      <c r="P197" s="8">
        <f>0.61+1.04+1.18+0.567</f>
        <v>3.3970000000000002</v>
      </c>
      <c r="Q197" s="8"/>
      <c r="R197" s="8"/>
      <c r="S197" s="8">
        <v>1.1040000000000001</v>
      </c>
      <c r="T197" s="8">
        <v>0.95899999999999996</v>
      </c>
      <c r="U197" s="8"/>
      <c r="V197" s="8">
        <f t="shared" si="47"/>
        <v>1.480819529206626</v>
      </c>
      <c r="W197" s="8"/>
      <c r="X197" s="8">
        <f t="shared" si="56"/>
        <v>0.86865942028985499</v>
      </c>
      <c r="Y197" s="31">
        <f t="shared" si="53"/>
        <v>-6.9941562586892173E-2</v>
      </c>
      <c r="Z197" s="31" t="str">
        <f t="shared" si="54"/>
        <v/>
      </c>
      <c r="AA197" s="31">
        <f t="shared" si="55"/>
        <v>-6.9941562586892173E-2</v>
      </c>
    </row>
    <row r="198" spans="1:27" x14ac:dyDescent="0.25">
      <c r="A198" s="6" t="str">
        <f t="shared" si="49"/>
        <v>complete</v>
      </c>
      <c r="B198" s="6" t="s">
        <v>182</v>
      </c>
      <c r="C198" s="6" t="str">
        <f t="shared" si="50"/>
        <v>HC105 428</v>
      </c>
      <c r="D198" s="6" t="s">
        <v>181</v>
      </c>
      <c r="E198" s="20">
        <v>428</v>
      </c>
      <c r="F198" s="6" t="s">
        <v>154</v>
      </c>
      <c r="G198" s="6" t="s">
        <v>218</v>
      </c>
      <c r="H198" s="6" t="s">
        <v>979</v>
      </c>
      <c r="I198" s="6" t="s">
        <v>5</v>
      </c>
      <c r="J198" s="29">
        <v>10.898</v>
      </c>
      <c r="K198" s="8">
        <f t="shared" si="51"/>
        <v>1.0373468035680899</v>
      </c>
      <c r="L198" s="8">
        <f t="shared" si="52"/>
        <v>6.9937494721489983</v>
      </c>
      <c r="M198" s="8"/>
      <c r="N198" s="8"/>
      <c r="O198" s="8">
        <v>0.60299999999999998</v>
      </c>
      <c r="P198" s="8">
        <f>0.489+0.498+0.378</f>
        <v>1.365</v>
      </c>
      <c r="Q198" s="8"/>
      <c r="R198" s="8"/>
      <c r="S198" s="8">
        <v>1.03</v>
      </c>
      <c r="T198" s="8">
        <f>0.335+0.414+0.948+0.284</f>
        <v>1.9810000000000001</v>
      </c>
      <c r="U198" s="8"/>
      <c r="V198" s="8">
        <f t="shared" si="47"/>
        <v>2.2636815920398012</v>
      </c>
      <c r="W198" s="8"/>
      <c r="X198" s="8">
        <f t="shared" si="56"/>
        <v>1.9233009708737865</v>
      </c>
      <c r="Y198" s="31">
        <f t="shared" si="53"/>
        <v>-0.32087115657041193</v>
      </c>
      <c r="Z198" s="31" t="str">
        <f t="shared" si="54"/>
        <v/>
      </c>
      <c r="AA198" s="31">
        <f t="shared" si="55"/>
        <v>-0.32087115657041193</v>
      </c>
    </row>
    <row r="199" spans="1:27" x14ac:dyDescent="0.25">
      <c r="A199" s="6" t="str">
        <f t="shared" si="49"/>
        <v>fragment</v>
      </c>
      <c r="B199" s="6" t="s">
        <v>182</v>
      </c>
      <c r="C199" s="6" t="str">
        <f t="shared" si="50"/>
        <v>HC105 428</v>
      </c>
      <c r="D199" s="6" t="s">
        <v>181</v>
      </c>
      <c r="E199" s="20">
        <v>428</v>
      </c>
      <c r="F199" s="6" t="s">
        <v>154</v>
      </c>
      <c r="G199" s="6" t="s">
        <v>222</v>
      </c>
      <c r="H199" s="6" t="s">
        <v>979</v>
      </c>
      <c r="I199" s="6" t="s">
        <v>5</v>
      </c>
      <c r="J199" s="29"/>
      <c r="K199" s="8" t="str">
        <f t="shared" si="51"/>
        <v/>
      </c>
      <c r="L199" s="8" t="str">
        <f t="shared" si="52"/>
        <v/>
      </c>
      <c r="M199" s="8"/>
      <c r="N199" s="8"/>
      <c r="O199" s="8"/>
      <c r="P199" s="8"/>
      <c r="Q199" s="8">
        <v>1.623</v>
      </c>
      <c r="R199" s="8">
        <f>0.717+0.983+0.212+0.44</f>
        <v>2.3519999999999999</v>
      </c>
      <c r="S199" s="8">
        <v>1.6950000000000001</v>
      </c>
      <c r="T199" s="8">
        <f>0.418+0.736+0.24+0.895</f>
        <v>2.2889999999999997</v>
      </c>
      <c r="U199" s="8"/>
      <c r="V199" s="8"/>
      <c r="W199" s="8">
        <f>R199/Q199</f>
        <v>1.4491682070240295</v>
      </c>
      <c r="X199" s="8">
        <f t="shared" si="56"/>
        <v>1.3504424778761059</v>
      </c>
      <c r="Y199" s="31">
        <f t="shared" si="53"/>
        <v>-0.14606764669429623</v>
      </c>
      <c r="Z199" s="31">
        <f t="shared" si="54"/>
        <v>-0.14606764669429623</v>
      </c>
      <c r="AA199" s="31" t="str">
        <f t="shared" si="55"/>
        <v/>
      </c>
    </row>
    <row r="200" spans="1:27" x14ac:dyDescent="0.25">
      <c r="A200" s="6" t="str">
        <f t="shared" si="49"/>
        <v>fragment</v>
      </c>
      <c r="B200" s="6" t="s">
        <v>182</v>
      </c>
      <c r="C200" s="6" t="str">
        <f t="shared" si="50"/>
        <v>HC105 428</v>
      </c>
      <c r="D200" s="6" t="s">
        <v>181</v>
      </c>
      <c r="E200" s="20">
        <v>428</v>
      </c>
      <c r="F200" s="6" t="s">
        <v>154</v>
      </c>
      <c r="G200" s="6" t="s">
        <v>223</v>
      </c>
      <c r="H200" s="6" t="s">
        <v>979</v>
      </c>
      <c r="I200" s="6" t="s">
        <v>5</v>
      </c>
      <c r="J200" s="29"/>
      <c r="K200" s="8" t="str">
        <f t="shared" si="51"/>
        <v/>
      </c>
      <c r="L200" s="8" t="str">
        <f t="shared" si="52"/>
        <v/>
      </c>
      <c r="M200" s="8"/>
      <c r="N200" s="8"/>
      <c r="O200" s="8">
        <v>1.772</v>
      </c>
      <c r="P200" s="8">
        <f>0.861+0.932+0.729</f>
        <v>2.5220000000000002</v>
      </c>
      <c r="Q200" s="8"/>
      <c r="R200" s="8"/>
      <c r="S200" s="8">
        <v>2.234</v>
      </c>
      <c r="T200" s="8">
        <f>1.61+1.328</f>
        <v>2.9380000000000002</v>
      </c>
      <c r="U200" s="8"/>
      <c r="V200" s="8">
        <f>P200/O200</f>
        <v>1.4232505643340858</v>
      </c>
      <c r="W200" s="8"/>
      <c r="X200" s="8">
        <f t="shared" si="56"/>
        <v>1.315129811996419</v>
      </c>
      <c r="Y200" s="31">
        <f t="shared" si="53"/>
        <v>-0.13646377825363054</v>
      </c>
      <c r="Z200" s="31">
        <f t="shared" si="54"/>
        <v>-0.13646377825363054</v>
      </c>
      <c r="AA200" s="31" t="str">
        <f t="shared" si="55"/>
        <v/>
      </c>
    </row>
    <row r="201" spans="1:27" x14ac:dyDescent="0.25">
      <c r="A201" s="6" t="str">
        <f t="shared" si="49"/>
        <v>complete</v>
      </c>
      <c r="B201" s="6" t="s">
        <v>182</v>
      </c>
      <c r="C201" s="6" t="str">
        <f t="shared" si="50"/>
        <v>HC105 428</v>
      </c>
      <c r="D201" s="6" t="s">
        <v>181</v>
      </c>
      <c r="E201" s="20">
        <v>428</v>
      </c>
      <c r="F201" s="6" t="s">
        <v>154</v>
      </c>
      <c r="G201" s="6" t="s">
        <v>958</v>
      </c>
      <c r="H201" s="6" t="s">
        <v>979</v>
      </c>
      <c r="I201" s="6" t="s">
        <v>5</v>
      </c>
      <c r="J201" s="29">
        <f>18.057*2</f>
        <v>36.113999999999997</v>
      </c>
      <c r="K201" s="8">
        <f t="shared" si="51"/>
        <v>1.5576755937084334</v>
      </c>
      <c r="L201" s="8">
        <f t="shared" si="52"/>
        <v>8.1918507877817799</v>
      </c>
      <c r="M201" s="8"/>
      <c r="N201" s="8"/>
      <c r="O201" s="8">
        <v>1.6539999999999999</v>
      </c>
      <c r="P201" s="8">
        <f>0.713+0.811+0.783+0.392</f>
        <v>2.6989999999999998</v>
      </c>
      <c r="Q201" s="8"/>
      <c r="R201" s="8"/>
      <c r="S201" s="8">
        <v>2.3380000000000001</v>
      </c>
      <c r="T201" s="8">
        <f>1.21+1.116+0.818</f>
        <v>3.1440000000000001</v>
      </c>
      <c r="U201" s="8"/>
      <c r="V201" s="8">
        <f>P201/O201</f>
        <v>1.6318016928657799</v>
      </c>
      <c r="W201" s="8"/>
      <c r="X201" s="8">
        <f t="shared" si="56"/>
        <v>1.3447390932420873</v>
      </c>
      <c r="Y201" s="31">
        <f t="shared" si="53"/>
        <v>-0.17268184219312641</v>
      </c>
      <c r="Z201" s="31" t="str">
        <f t="shared" si="54"/>
        <v/>
      </c>
      <c r="AA201" s="31">
        <f t="shared" si="55"/>
        <v>-0.17268184219312641</v>
      </c>
    </row>
    <row r="202" spans="1:27" x14ac:dyDescent="0.25">
      <c r="A202" s="6" t="str">
        <f t="shared" si="49"/>
        <v>complete</v>
      </c>
      <c r="B202" s="6" t="s">
        <v>182</v>
      </c>
      <c r="C202" s="6" t="str">
        <f t="shared" si="50"/>
        <v>HC105 428</v>
      </c>
      <c r="D202" s="6" t="s">
        <v>181</v>
      </c>
      <c r="E202" s="20">
        <v>428</v>
      </c>
      <c r="F202" s="6" t="s">
        <v>154</v>
      </c>
      <c r="G202" s="6" t="s">
        <v>959</v>
      </c>
      <c r="H202" s="6" t="s">
        <v>979</v>
      </c>
      <c r="I202" s="6" t="s">
        <v>5</v>
      </c>
      <c r="J202" s="29">
        <v>59.838999999999999</v>
      </c>
      <c r="K202" s="8">
        <f t="shared" si="51"/>
        <v>1.776984327200811</v>
      </c>
      <c r="L202" s="8">
        <f t="shared" si="52"/>
        <v>8.6968278082847323</v>
      </c>
      <c r="M202" s="8"/>
      <c r="N202" s="8"/>
      <c r="O202" s="8">
        <v>2.665</v>
      </c>
      <c r="P202" s="8">
        <f>0.833+1.117+0.759</f>
        <v>2.7090000000000001</v>
      </c>
      <c r="Q202" s="8"/>
      <c r="R202" s="8"/>
      <c r="S202" s="8">
        <v>3.9729999999999999</v>
      </c>
      <c r="T202" s="8">
        <f>0.997+1.97+0.44</f>
        <v>3.407</v>
      </c>
      <c r="U202" s="8"/>
      <c r="V202" s="8">
        <f>P202/O202</f>
        <v>1.0165103189493434</v>
      </c>
      <c r="W202" s="8"/>
      <c r="X202" s="8">
        <f t="shared" si="56"/>
        <v>0.85753838409262528</v>
      </c>
      <c r="Y202" s="31">
        <f t="shared" si="53"/>
        <v>2.8249122459322588E-2</v>
      </c>
      <c r="Z202" s="31" t="str">
        <f t="shared" si="54"/>
        <v/>
      </c>
      <c r="AA202" s="31">
        <f t="shared" si="55"/>
        <v>2.8249122459322588E-2</v>
      </c>
    </row>
    <row r="203" spans="1:27" x14ac:dyDescent="0.25">
      <c r="A203" s="6" t="str">
        <f t="shared" si="49"/>
        <v>complete</v>
      </c>
      <c r="B203" s="6" t="s">
        <v>182</v>
      </c>
      <c r="C203" s="6" t="str">
        <f t="shared" si="50"/>
        <v>HC105 428</v>
      </c>
      <c r="D203" s="6" t="s">
        <v>181</v>
      </c>
      <c r="E203" s="20">
        <v>428</v>
      </c>
      <c r="F203" s="6" t="s">
        <v>154</v>
      </c>
      <c r="G203" s="6" t="s">
        <v>224</v>
      </c>
      <c r="H203" s="6" t="s">
        <v>979</v>
      </c>
      <c r="I203" s="6" t="s">
        <v>5</v>
      </c>
      <c r="J203" s="29">
        <f>15.521*2</f>
        <v>31.042000000000002</v>
      </c>
      <c r="K203" s="8">
        <f t="shared" si="51"/>
        <v>1.491949694576554</v>
      </c>
      <c r="L203" s="8">
        <f t="shared" si="52"/>
        <v>8.0405113122170846</v>
      </c>
      <c r="M203" s="8"/>
      <c r="N203" s="8"/>
      <c r="O203" s="8">
        <v>2.2909999999999999</v>
      </c>
      <c r="P203" s="8">
        <f>0.764+0.963+0.735</f>
        <v>2.4619999999999997</v>
      </c>
      <c r="Q203" s="8"/>
      <c r="R203" s="8"/>
      <c r="S203" s="8">
        <v>1.6579999999999999</v>
      </c>
      <c r="T203" s="8">
        <f>1.192+0.599+0.689</f>
        <v>2.48</v>
      </c>
      <c r="U203" s="8"/>
      <c r="V203" s="8">
        <f>P203/O203</f>
        <v>1.0746398952422522</v>
      </c>
      <c r="W203" s="8"/>
      <c r="X203" s="8">
        <f t="shared" si="56"/>
        <v>1.4957780458383596</v>
      </c>
      <c r="Y203" s="31">
        <f t="shared" si="53"/>
        <v>-0.10897374819177294</v>
      </c>
      <c r="Z203" s="31" t="str">
        <f t="shared" si="54"/>
        <v/>
      </c>
      <c r="AA203" s="31">
        <f t="shared" si="55"/>
        <v>-0.10897374819177294</v>
      </c>
    </row>
    <row r="204" spans="1:27" x14ac:dyDescent="0.25">
      <c r="A204" s="6" t="str">
        <f t="shared" si="49"/>
        <v>fragment</v>
      </c>
      <c r="B204" s="6" t="s">
        <v>182</v>
      </c>
      <c r="C204" s="6" t="str">
        <f t="shared" si="50"/>
        <v>HC105 428</v>
      </c>
      <c r="D204" s="6" t="s">
        <v>181</v>
      </c>
      <c r="E204" s="20">
        <v>428</v>
      </c>
      <c r="F204" s="6" t="s">
        <v>154</v>
      </c>
      <c r="G204" s="6" t="s">
        <v>225</v>
      </c>
      <c r="H204" s="6" t="s">
        <v>979</v>
      </c>
      <c r="I204" s="6" t="s">
        <v>5</v>
      </c>
      <c r="J204" s="29"/>
      <c r="K204" s="8" t="str">
        <f t="shared" si="51"/>
        <v/>
      </c>
      <c r="L204" s="8" t="str">
        <f t="shared" si="52"/>
        <v/>
      </c>
      <c r="M204" s="8"/>
      <c r="N204" s="8"/>
      <c r="O204" s="8">
        <v>1.8759999999999999</v>
      </c>
      <c r="P204" s="8">
        <f>0.894+0.671+0.796+0.456+0.725</f>
        <v>3.5419999999999998</v>
      </c>
      <c r="Q204" s="8"/>
      <c r="R204" s="8"/>
      <c r="S204" s="8">
        <v>1.607</v>
      </c>
      <c r="T204" s="8">
        <f>1.21+0.376</f>
        <v>1.5859999999999999</v>
      </c>
      <c r="U204" s="8"/>
      <c r="V204" s="8">
        <f>P204/O204</f>
        <v>1.8880597014925373</v>
      </c>
      <c r="W204" s="8"/>
      <c r="X204" s="8">
        <f t="shared" si="56"/>
        <v>0.98693217174859982</v>
      </c>
      <c r="Y204" s="31">
        <f t="shared" si="53"/>
        <v>-0.15760662574027051</v>
      </c>
      <c r="Z204" s="31">
        <f t="shared" si="54"/>
        <v>-0.15760662574027051</v>
      </c>
      <c r="AA204" s="31" t="str">
        <f t="shared" si="55"/>
        <v/>
      </c>
    </row>
    <row r="205" spans="1:27" x14ac:dyDescent="0.25">
      <c r="A205" s="6" t="str">
        <f t="shared" si="49"/>
        <v>fragment</v>
      </c>
      <c r="B205" s="6" t="s">
        <v>182</v>
      </c>
      <c r="C205" s="6" t="str">
        <f t="shared" si="50"/>
        <v>HC105 428</v>
      </c>
      <c r="D205" s="6" t="s">
        <v>181</v>
      </c>
      <c r="E205" s="20">
        <v>428</v>
      </c>
      <c r="F205" s="6" t="s">
        <v>154</v>
      </c>
      <c r="G205" s="6" t="s">
        <v>226</v>
      </c>
      <c r="H205" s="6" t="s">
        <v>979</v>
      </c>
      <c r="I205" s="6" t="s">
        <v>5</v>
      </c>
      <c r="J205" s="29"/>
      <c r="K205" s="8" t="str">
        <f t="shared" si="51"/>
        <v/>
      </c>
      <c r="L205" s="8" t="str">
        <f t="shared" si="52"/>
        <v/>
      </c>
      <c r="M205" s="8">
        <v>2.3069999999999999</v>
      </c>
      <c r="N205" s="8">
        <f>1.408+0.936</f>
        <v>2.3439999999999999</v>
      </c>
      <c r="O205" s="8"/>
      <c r="P205" s="8"/>
      <c r="Q205" s="8">
        <v>0.91800000000000004</v>
      </c>
      <c r="R205" s="8">
        <f>0.617+0.626</f>
        <v>1.2429999999999999</v>
      </c>
      <c r="S205" s="8">
        <v>3.177</v>
      </c>
      <c r="T205" s="8">
        <f>1.003+1.484+0.858+1.095</f>
        <v>4.4400000000000004</v>
      </c>
      <c r="U205" s="8">
        <f>N205/M205</f>
        <v>1.0160381447767663</v>
      </c>
      <c r="V205" s="8"/>
      <c r="W205" s="8">
        <f>R205/Q205</f>
        <v>1.3540305010893245</v>
      </c>
      <c r="X205" s="8">
        <f t="shared" si="56"/>
        <v>1.3975448536355053</v>
      </c>
      <c r="Y205" s="31">
        <f t="shared" si="53"/>
        <v>-9.8945089602048744E-2</v>
      </c>
      <c r="Z205" s="31">
        <f t="shared" si="54"/>
        <v>-9.8945089602048744E-2</v>
      </c>
      <c r="AA205" s="31" t="str">
        <f t="shared" si="55"/>
        <v/>
      </c>
    </row>
    <row r="206" spans="1:27" x14ac:dyDescent="0.25">
      <c r="A206" s="6" t="str">
        <f t="shared" si="49"/>
        <v>fragment</v>
      </c>
      <c r="B206" s="6" t="s">
        <v>182</v>
      </c>
      <c r="C206" s="6" t="str">
        <f t="shared" si="50"/>
        <v>HC105 428</v>
      </c>
      <c r="D206" s="6" t="s">
        <v>181</v>
      </c>
      <c r="E206" s="20">
        <v>428</v>
      </c>
      <c r="F206" s="6" t="s">
        <v>154</v>
      </c>
      <c r="G206" s="6" t="s">
        <v>227</v>
      </c>
      <c r="H206" s="6" t="s">
        <v>979</v>
      </c>
      <c r="I206" s="6" t="s">
        <v>5</v>
      </c>
      <c r="J206" s="29"/>
      <c r="K206" s="8" t="str">
        <f t="shared" si="51"/>
        <v/>
      </c>
      <c r="L206" s="8" t="str">
        <f t="shared" si="52"/>
        <v/>
      </c>
      <c r="M206" s="8"/>
      <c r="N206" s="8"/>
      <c r="O206" s="8">
        <v>2.1669999999999998</v>
      </c>
      <c r="P206" s="8">
        <f>1.429+0.493+1.184+0.733</f>
        <v>3.839</v>
      </c>
      <c r="Q206" s="8"/>
      <c r="R206" s="8"/>
      <c r="S206" s="8">
        <v>1.5649999999999999</v>
      </c>
      <c r="T206" s="8">
        <f>1.322+0.844</f>
        <v>2.1659999999999999</v>
      </c>
      <c r="U206" s="8"/>
      <c r="V206" s="8">
        <f>P206/O206</f>
        <v>1.7715736040609138</v>
      </c>
      <c r="W206" s="8"/>
      <c r="X206" s="8">
        <f t="shared" si="56"/>
        <v>1.3840255591054313</v>
      </c>
      <c r="Y206" s="31">
        <f t="shared" si="53"/>
        <v>-0.19805183655376313</v>
      </c>
      <c r="Z206" s="31">
        <f t="shared" si="54"/>
        <v>-0.19805183655376313</v>
      </c>
      <c r="AA206" s="31" t="str">
        <f t="shared" si="55"/>
        <v/>
      </c>
    </row>
    <row r="207" spans="1:27" x14ac:dyDescent="0.25">
      <c r="A207" s="6" t="str">
        <f t="shared" si="49"/>
        <v>complete</v>
      </c>
      <c r="B207" s="6" t="s">
        <v>182</v>
      </c>
      <c r="C207" s="6" t="str">
        <f t="shared" si="50"/>
        <v>HC105 428</v>
      </c>
      <c r="D207" s="6" t="s">
        <v>181</v>
      </c>
      <c r="E207" s="20">
        <v>428</v>
      </c>
      <c r="F207" s="6" t="s">
        <v>154</v>
      </c>
      <c r="G207" s="6" t="s">
        <v>228</v>
      </c>
      <c r="H207" s="6" t="s">
        <v>979</v>
      </c>
      <c r="I207" s="6" t="s">
        <v>5</v>
      </c>
      <c r="J207" s="29">
        <f>16.044*2</f>
        <v>32.088000000000001</v>
      </c>
      <c r="K207" s="8">
        <f t="shared" si="51"/>
        <v>1.5063426489735905</v>
      </c>
      <c r="L207" s="8">
        <f t="shared" si="52"/>
        <v>8.0736523144558436</v>
      </c>
      <c r="M207" s="8">
        <v>1.2869999999999999</v>
      </c>
      <c r="N207" s="8">
        <f>0.972+0.831</f>
        <v>1.8029999999999999</v>
      </c>
      <c r="O207" s="8"/>
      <c r="P207" s="8"/>
      <c r="Q207" s="8">
        <v>1.0489999999999999</v>
      </c>
      <c r="R207" s="8">
        <f>0.431+0.684+0.614</f>
        <v>1.7290000000000001</v>
      </c>
      <c r="S207" s="8">
        <v>2.8159999999999998</v>
      </c>
      <c r="T207" s="8">
        <f>1.329+1.346+1.352</f>
        <v>4.0270000000000001</v>
      </c>
      <c r="U207" s="8">
        <f>N207/M207</f>
        <v>1.4009324009324009</v>
      </c>
      <c r="V207" s="8"/>
      <c r="W207" s="8">
        <f>R207/Q207</f>
        <v>1.6482364156339373</v>
      </c>
      <c r="X207" s="8">
        <f t="shared" si="56"/>
        <v>1.4300426136363638</v>
      </c>
      <c r="Y207" s="31">
        <f t="shared" si="53"/>
        <v>-0.17408030801597599</v>
      </c>
      <c r="Z207" s="31" t="str">
        <f t="shared" si="54"/>
        <v/>
      </c>
      <c r="AA207" s="31">
        <f t="shared" si="55"/>
        <v>-0.17408030801597599</v>
      </c>
    </row>
    <row r="208" spans="1:27" x14ac:dyDescent="0.25">
      <c r="A208" s="6" t="str">
        <f t="shared" si="49"/>
        <v>complete</v>
      </c>
      <c r="B208" s="6" t="s">
        <v>182</v>
      </c>
      <c r="C208" s="6" t="str">
        <f t="shared" si="50"/>
        <v>HC105 428</v>
      </c>
      <c r="D208" s="6" t="s">
        <v>181</v>
      </c>
      <c r="E208" s="20">
        <v>428</v>
      </c>
      <c r="F208" s="6" t="s">
        <v>154</v>
      </c>
      <c r="G208" s="6" t="s">
        <v>229</v>
      </c>
      <c r="H208" s="6" t="s">
        <v>979</v>
      </c>
      <c r="I208" s="6" t="s">
        <v>5</v>
      </c>
      <c r="J208" s="29">
        <f>12.152*2</f>
        <v>24.303999999999998</v>
      </c>
      <c r="K208" s="8">
        <f t="shared" si="51"/>
        <v>1.3856777565187111</v>
      </c>
      <c r="L208" s="8">
        <f t="shared" si="52"/>
        <v>7.795811131841508</v>
      </c>
      <c r="M208" s="8"/>
      <c r="N208" s="8"/>
      <c r="O208" s="8">
        <v>1.2889999999999999</v>
      </c>
      <c r="P208" s="8">
        <f>0.698+0.849+0.615</f>
        <v>2.1619999999999999</v>
      </c>
      <c r="Q208" s="8"/>
      <c r="R208" s="8"/>
      <c r="S208" s="8">
        <v>1.31</v>
      </c>
      <c r="T208" s="8">
        <f>0.802+0.855</f>
        <v>1.657</v>
      </c>
      <c r="U208" s="8"/>
      <c r="V208" s="8">
        <f t="shared" ref="V208:V213" si="57">P208/O208</f>
        <v>1.6772692009309542</v>
      </c>
      <c r="W208" s="8"/>
      <c r="X208" s="8">
        <f t="shared" si="56"/>
        <v>1.2648854961832061</v>
      </c>
      <c r="Y208" s="31">
        <f t="shared" si="53"/>
        <v>-0.16763550832806073</v>
      </c>
      <c r="Z208" s="31" t="str">
        <f t="shared" si="54"/>
        <v/>
      </c>
      <c r="AA208" s="31">
        <f t="shared" si="55"/>
        <v>-0.16763550832806073</v>
      </c>
    </row>
    <row r="209" spans="1:27" x14ac:dyDescent="0.25">
      <c r="A209" s="6" t="str">
        <f t="shared" si="49"/>
        <v>fragment</v>
      </c>
      <c r="B209" s="6" t="s">
        <v>182</v>
      </c>
      <c r="C209" s="6" t="str">
        <f t="shared" si="50"/>
        <v>HC105 428</v>
      </c>
      <c r="D209" s="6" t="s">
        <v>181</v>
      </c>
      <c r="E209" s="20">
        <v>428</v>
      </c>
      <c r="F209" s="6" t="s">
        <v>154</v>
      </c>
      <c r="G209" s="6" t="s">
        <v>230</v>
      </c>
      <c r="H209" s="6" t="s">
        <v>979</v>
      </c>
      <c r="I209" s="6" t="s">
        <v>5</v>
      </c>
      <c r="J209" s="29"/>
      <c r="K209" s="8" t="str">
        <f t="shared" si="51"/>
        <v/>
      </c>
      <c r="L209" s="8" t="str">
        <f t="shared" si="52"/>
        <v/>
      </c>
      <c r="M209" s="8"/>
      <c r="N209" s="8"/>
      <c r="O209" s="8">
        <v>2.2570000000000001</v>
      </c>
      <c r="P209" s="8">
        <f>1.177+2.184</f>
        <v>3.3610000000000002</v>
      </c>
      <c r="Q209" s="8">
        <v>3.1560000000000001</v>
      </c>
      <c r="R209" s="8">
        <f>1.044+1.419+0.289+1.222+0.187+0.313</f>
        <v>4.4740000000000002</v>
      </c>
      <c r="S209" s="8"/>
      <c r="T209" s="8"/>
      <c r="U209" s="8"/>
      <c r="V209" s="8">
        <f t="shared" si="57"/>
        <v>1.4891448825875055</v>
      </c>
      <c r="W209" s="8">
        <f>R209/Q209</f>
        <v>1.417617237008872</v>
      </c>
      <c r="X209" s="8"/>
      <c r="Y209" s="31">
        <f t="shared" si="53"/>
        <v>-0.16237949624617071</v>
      </c>
      <c r="Z209" s="31">
        <f t="shared" si="54"/>
        <v>-0.16237949624617071</v>
      </c>
      <c r="AA209" s="31" t="str">
        <f t="shared" si="55"/>
        <v/>
      </c>
    </row>
    <row r="210" spans="1:27" x14ac:dyDescent="0.25">
      <c r="A210" s="6" t="str">
        <f t="shared" si="49"/>
        <v>fragment</v>
      </c>
      <c r="B210" s="6" t="s">
        <v>182</v>
      </c>
      <c r="C210" s="6" t="str">
        <f t="shared" si="50"/>
        <v>HC105 428</v>
      </c>
      <c r="D210" s="6" t="s">
        <v>181</v>
      </c>
      <c r="E210" s="20">
        <v>428</v>
      </c>
      <c r="F210" s="6" t="s">
        <v>154</v>
      </c>
      <c r="G210" s="6" t="s">
        <v>231</v>
      </c>
      <c r="H210" s="6" t="s">
        <v>979</v>
      </c>
      <c r="I210" s="6" t="s">
        <v>5</v>
      </c>
      <c r="J210" s="29"/>
      <c r="K210" s="8" t="str">
        <f t="shared" si="51"/>
        <v/>
      </c>
      <c r="L210" s="8" t="str">
        <f t="shared" si="52"/>
        <v/>
      </c>
      <c r="M210" s="8"/>
      <c r="N210" s="8"/>
      <c r="O210" s="8">
        <v>1.7869999999999999</v>
      </c>
      <c r="P210" s="8">
        <f>0.845+0.225+1.469+0.319+0.422</f>
        <v>3.2800000000000002</v>
      </c>
      <c r="Q210" s="8"/>
      <c r="R210" s="8"/>
      <c r="S210" s="8">
        <v>1.05</v>
      </c>
      <c r="T210" s="8">
        <f>0.999+1.148</f>
        <v>2.1469999999999998</v>
      </c>
      <c r="U210" s="8"/>
      <c r="V210" s="8">
        <f t="shared" si="57"/>
        <v>1.8354784555120316</v>
      </c>
      <c r="W210" s="8"/>
      <c r="X210" s="8">
        <f t="shared" ref="X210:X215" si="58">T210/S210</f>
        <v>2.0447619047619043</v>
      </c>
      <c r="Y210" s="31">
        <f t="shared" si="53"/>
        <v>-0.28782863299915851</v>
      </c>
      <c r="Z210" s="31">
        <f t="shared" si="54"/>
        <v>-0.28782863299915851</v>
      </c>
      <c r="AA210" s="31" t="str">
        <f t="shared" si="55"/>
        <v/>
      </c>
    </row>
    <row r="211" spans="1:27" x14ac:dyDescent="0.25">
      <c r="A211" s="6" t="str">
        <f t="shared" si="49"/>
        <v>complete</v>
      </c>
      <c r="B211" s="6" t="s">
        <v>182</v>
      </c>
      <c r="C211" s="6" t="str">
        <f t="shared" si="50"/>
        <v>HC105 428</v>
      </c>
      <c r="D211" s="6" t="s">
        <v>181</v>
      </c>
      <c r="E211" s="20">
        <v>428</v>
      </c>
      <c r="F211" s="6" t="s">
        <v>154</v>
      </c>
      <c r="G211" s="6" t="s">
        <v>232</v>
      </c>
      <c r="H211" s="6" t="s">
        <v>979</v>
      </c>
      <c r="I211" s="6" t="s">
        <v>5</v>
      </c>
      <c r="J211" s="29">
        <v>26.939</v>
      </c>
      <c r="K211" s="8">
        <f t="shared" si="51"/>
        <v>1.4303814702829392</v>
      </c>
      <c r="L211" s="8">
        <f t="shared" si="52"/>
        <v>7.8987452367564925</v>
      </c>
      <c r="M211" s="8"/>
      <c r="N211" s="8"/>
      <c r="O211" s="8">
        <v>1.325</v>
      </c>
      <c r="P211" s="8">
        <f>0.962+0.89</f>
        <v>1.8519999999999999</v>
      </c>
      <c r="Q211" s="8"/>
      <c r="R211" s="8"/>
      <c r="S211" s="8">
        <v>2.073</v>
      </c>
      <c r="T211" s="8">
        <f>0.596+1.217+0.884+0.489</f>
        <v>3.1859999999999999</v>
      </c>
      <c r="U211" s="8"/>
      <c r="V211" s="8">
        <f t="shared" si="57"/>
        <v>1.3977358490566036</v>
      </c>
      <c r="W211" s="8"/>
      <c r="X211" s="8">
        <f t="shared" si="58"/>
        <v>1.5369030390738061</v>
      </c>
      <c r="Y211" s="31">
        <f t="shared" si="53"/>
        <v>-0.1665246725973569</v>
      </c>
      <c r="Z211" s="31" t="str">
        <f t="shared" si="54"/>
        <v/>
      </c>
      <c r="AA211" s="31">
        <f t="shared" si="55"/>
        <v>-0.1665246725973569</v>
      </c>
    </row>
    <row r="212" spans="1:27" x14ac:dyDescent="0.25">
      <c r="A212" s="6" t="str">
        <f t="shared" si="49"/>
        <v>complete</v>
      </c>
      <c r="B212" s="6" t="s">
        <v>182</v>
      </c>
      <c r="C212" s="6" t="str">
        <f t="shared" si="50"/>
        <v>HC105 428</v>
      </c>
      <c r="D212" s="6" t="s">
        <v>181</v>
      </c>
      <c r="E212" s="20">
        <v>428</v>
      </c>
      <c r="F212" s="6" t="s">
        <v>154</v>
      </c>
      <c r="G212" s="6" t="s">
        <v>233</v>
      </c>
      <c r="H212" s="6" t="s">
        <v>979</v>
      </c>
      <c r="I212" s="6" t="s">
        <v>5</v>
      </c>
      <c r="J212" s="29">
        <v>33.719000000000001</v>
      </c>
      <c r="K212" s="8">
        <f t="shared" si="51"/>
        <v>1.5278746863286909</v>
      </c>
      <c r="L212" s="8">
        <f t="shared" si="52"/>
        <v>8.123231662691488</v>
      </c>
      <c r="M212" s="8"/>
      <c r="N212" s="8"/>
      <c r="O212" s="8">
        <v>1.9330000000000001</v>
      </c>
      <c r="P212" s="8">
        <f>0.724+0.87+1.1+0.216</f>
        <v>2.91</v>
      </c>
      <c r="Q212" s="8"/>
      <c r="R212" s="8"/>
      <c r="S212" s="8">
        <v>3.6339999999999999</v>
      </c>
      <c r="T212" s="8">
        <f>1.876+2.077+0.365</f>
        <v>4.3179999999999996</v>
      </c>
      <c r="U212" s="8"/>
      <c r="V212" s="8">
        <f t="shared" si="57"/>
        <v>1.5054319710294879</v>
      </c>
      <c r="W212" s="8"/>
      <c r="X212" s="8">
        <f t="shared" si="58"/>
        <v>1.1882223445239406</v>
      </c>
      <c r="Y212" s="31">
        <f t="shared" si="53"/>
        <v>-0.12931186503239603</v>
      </c>
      <c r="Z212" s="31" t="str">
        <f t="shared" si="54"/>
        <v/>
      </c>
      <c r="AA212" s="31">
        <f t="shared" si="55"/>
        <v>-0.12931186503239603</v>
      </c>
    </row>
    <row r="213" spans="1:27" x14ac:dyDescent="0.25">
      <c r="A213" s="6" t="str">
        <f t="shared" si="49"/>
        <v>complete</v>
      </c>
      <c r="B213" s="6" t="s">
        <v>182</v>
      </c>
      <c r="C213" s="6" t="str">
        <f t="shared" si="50"/>
        <v>HC105 428</v>
      </c>
      <c r="D213" s="6" t="s">
        <v>181</v>
      </c>
      <c r="E213" s="20">
        <v>428</v>
      </c>
      <c r="F213" s="6" t="s">
        <v>154</v>
      </c>
      <c r="G213" s="6" t="s">
        <v>234</v>
      </c>
      <c r="H213" s="6" t="s">
        <v>979</v>
      </c>
      <c r="I213" s="6" t="s">
        <v>5</v>
      </c>
      <c r="J213" s="29">
        <v>33.454999999999998</v>
      </c>
      <c r="K213" s="8">
        <f t="shared" si="51"/>
        <v>1.5244610342154497</v>
      </c>
      <c r="L213" s="8">
        <f t="shared" si="52"/>
        <v>8.115371438222871</v>
      </c>
      <c r="M213" s="8"/>
      <c r="N213" s="8"/>
      <c r="O213" s="8">
        <v>1.359</v>
      </c>
      <c r="P213" s="8">
        <f>0.741+0.7+0.196+0.597</f>
        <v>2.234</v>
      </c>
      <c r="Q213" s="8"/>
      <c r="R213" s="8"/>
      <c r="S213" s="8">
        <v>2.4239999999999999</v>
      </c>
      <c r="T213" s="8">
        <f>1.019+0.741</f>
        <v>1.7599999999999998</v>
      </c>
      <c r="U213" s="8"/>
      <c r="V213" s="8">
        <f t="shared" si="57"/>
        <v>1.6438557763061075</v>
      </c>
      <c r="W213" s="8"/>
      <c r="X213" s="8">
        <f t="shared" si="58"/>
        <v>0.72607260726072598</v>
      </c>
      <c r="Y213" s="31">
        <f t="shared" si="53"/>
        <v>-7.3705226678749097E-2</v>
      </c>
      <c r="Z213" s="31" t="str">
        <f t="shared" si="54"/>
        <v/>
      </c>
      <c r="AA213" s="31">
        <f t="shared" si="55"/>
        <v>-7.3705226678749097E-2</v>
      </c>
    </row>
    <row r="214" spans="1:27" x14ac:dyDescent="0.25">
      <c r="A214" s="6" t="str">
        <f t="shared" si="49"/>
        <v>fragment</v>
      </c>
      <c r="B214" s="6" t="s">
        <v>182</v>
      </c>
      <c r="C214" s="6" t="str">
        <f t="shared" si="50"/>
        <v>HC105 428</v>
      </c>
      <c r="D214" s="6" t="s">
        <v>181</v>
      </c>
      <c r="E214" s="20">
        <v>428</v>
      </c>
      <c r="F214" s="6" t="s">
        <v>154</v>
      </c>
      <c r="G214" s="6" t="s">
        <v>235</v>
      </c>
      <c r="H214" s="6" t="s">
        <v>979</v>
      </c>
      <c r="I214" s="6" t="s">
        <v>5</v>
      </c>
      <c r="J214" s="29"/>
      <c r="K214" s="8" t="str">
        <f t="shared" si="51"/>
        <v/>
      </c>
      <c r="L214" s="8" t="str">
        <f t="shared" si="52"/>
        <v/>
      </c>
      <c r="M214" s="8">
        <v>1.079</v>
      </c>
      <c r="N214" s="8">
        <f>0.992+0.477</f>
        <v>1.4689999999999999</v>
      </c>
      <c r="O214" s="8"/>
      <c r="P214" s="8"/>
      <c r="Q214" s="8"/>
      <c r="R214" s="8"/>
      <c r="S214" s="8">
        <v>2.5670000000000002</v>
      </c>
      <c r="T214" s="8">
        <f>0.878+1.418+1.395+0.466</f>
        <v>4.157</v>
      </c>
      <c r="U214" s="8">
        <f>N214/M214</f>
        <v>1.36144578313253</v>
      </c>
      <c r="V214" s="8"/>
      <c r="W214" s="8"/>
      <c r="X214" s="8">
        <f t="shared" si="58"/>
        <v>1.6194000779119593</v>
      </c>
      <c r="Y214" s="31">
        <f t="shared" si="53"/>
        <v>-0.17330952366668184</v>
      </c>
      <c r="Z214" s="31">
        <f t="shared" si="54"/>
        <v>-0.17330952366668184</v>
      </c>
      <c r="AA214" s="31" t="str">
        <f t="shared" si="55"/>
        <v/>
      </c>
    </row>
    <row r="215" spans="1:27" x14ac:dyDescent="0.25">
      <c r="A215" s="6" t="str">
        <f t="shared" si="49"/>
        <v>fragment</v>
      </c>
      <c r="B215" s="6" t="s">
        <v>182</v>
      </c>
      <c r="C215" s="6" t="str">
        <f t="shared" si="50"/>
        <v>HC105 428</v>
      </c>
      <c r="D215" s="6" t="s">
        <v>181</v>
      </c>
      <c r="E215" s="20">
        <v>428</v>
      </c>
      <c r="F215" s="6" t="s">
        <v>154</v>
      </c>
      <c r="G215" s="6" t="s">
        <v>236</v>
      </c>
      <c r="H215" s="6" t="s">
        <v>979</v>
      </c>
      <c r="I215" s="6" t="s">
        <v>5</v>
      </c>
      <c r="J215" s="29"/>
      <c r="K215" s="8" t="str">
        <f t="shared" si="51"/>
        <v/>
      </c>
      <c r="L215" s="8" t="str">
        <f t="shared" si="52"/>
        <v/>
      </c>
      <c r="M215" s="8"/>
      <c r="N215" s="8"/>
      <c r="O215" s="8">
        <v>1.6439999999999999</v>
      </c>
      <c r="P215" s="8">
        <f>0.53+0.781+0.733+0.732</f>
        <v>2.7759999999999998</v>
      </c>
      <c r="Q215" s="8"/>
      <c r="R215" s="8"/>
      <c r="S215" s="8">
        <v>2.7269999999999999</v>
      </c>
      <c r="T215" s="8">
        <f>0.669+1.192+1.133+0.617</f>
        <v>3.6109999999999998</v>
      </c>
      <c r="U215" s="8"/>
      <c r="V215" s="8">
        <f t="shared" ref="V215:V225" si="59">P215/O215</f>
        <v>1.6885644768856447</v>
      </c>
      <c r="W215" s="8"/>
      <c r="X215" s="8">
        <f t="shared" si="58"/>
        <v>1.3241657499083241</v>
      </c>
      <c r="Y215" s="31">
        <f t="shared" si="53"/>
        <v>-0.17793024909927099</v>
      </c>
      <c r="Z215" s="31">
        <f t="shared" si="54"/>
        <v>-0.17793024909927099</v>
      </c>
      <c r="AA215" s="31" t="str">
        <f t="shared" si="55"/>
        <v/>
      </c>
    </row>
    <row r="216" spans="1:27" x14ac:dyDescent="0.25">
      <c r="A216" s="6" t="str">
        <f t="shared" si="49"/>
        <v>complete</v>
      </c>
      <c r="B216" s="6" t="s">
        <v>182</v>
      </c>
      <c r="C216" s="6" t="str">
        <f t="shared" si="50"/>
        <v>HC105 428</v>
      </c>
      <c r="D216" s="6" t="s">
        <v>181</v>
      </c>
      <c r="E216" s="20">
        <v>428</v>
      </c>
      <c r="F216" s="6" t="s">
        <v>154</v>
      </c>
      <c r="G216" s="6" t="s">
        <v>237</v>
      </c>
      <c r="H216" s="6" t="s">
        <v>979</v>
      </c>
      <c r="I216" s="6" t="s">
        <v>5</v>
      </c>
      <c r="J216" s="29">
        <v>30.765329999999999</v>
      </c>
      <c r="K216" s="8">
        <f t="shared" si="51"/>
        <v>1.4880615778479185</v>
      </c>
      <c r="L216" s="8">
        <f t="shared" si="52"/>
        <v>8.0315585925979072</v>
      </c>
      <c r="M216" s="8">
        <v>1.3089999999999999</v>
      </c>
      <c r="N216" s="8">
        <f>1.226+0.839</f>
        <v>2.0649999999999999</v>
      </c>
      <c r="O216" s="8">
        <v>2.9350000000000001</v>
      </c>
      <c r="P216" s="8">
        <f>1.018+1.642+1.029</f>
        <v>3.6890000000000001</v>
      </c>
      <c r="Q216" s="8"/>
      <c r="R216" s="8"/>
      <c r="S216" s="8"/>
      <c r="T216" s="8"/>
      <c r="U216" s="8">
        <f>N216/M216</f>
        <v>1.5775401069518717</v>
      </c>
      <c r="V216" s="8">
        <f t="shared" si="59"/>
        <v>1.2568994889267462</v>
      </c>
      <c r="W216" s="8"/>
      <c r="X216" s="8"/>
      <c r="Y216" s="31">
        <f t="shared" si="53"/>
        <v>-0.1514372106070461</v>
      </c>
      <c r="Z216" s="31" t="str">
        <f t="shared" si="54"/>
        <v/>
      </c>
      <c r="AA216" s="31">
        <f t="shared" si="55"/>
        <v>-0.1514372106070461</v>
      </c>
    </row>
    <row r="217" spans="1:27" x14ac:dyDescent="0.25">
      <c r="A217" s="6" t="str">
        <f t="shared" si="49"/>
        <v>fragment</v>
      </c>
      <c r="B217" s="6" t="s">
        <v>182</v>
      </c>
      <c r="C217" s="6" t="str">
        <f t="shared" si="50"/>
        <v>HC105 428</v>
      </c>
      <c r="D217" s="6" t="s">
        <v>181</v>
      </c>
      <c r="E217" s="20">
        <v>428</v>
      </c>
      <c r="F217" s="6" t="s">
        <v>154</v>
      </c>
      <c r="G217" s="6" t="s">
        <v>238</v>
      </c>
      <c r="H217" s="6" t="s">
        <v>979</v>
      </c>
      <c r="I217" s="6" t="s">
        <v>5</v>
      </c>
      <c r="J217" s="29"/>
      <c r="K217" s="8" t="str">
        <f t="shared" si="51"/>
        <v/>
      </c>
      <c r="L217" s="8" t="str">
        <f t="shared" si="52"/>
        <v/>
      </c>
      <c r="M217" s="8"/>
      <c r="N217" s="8"/>
      <c r="O217" s="8">
        <v>1.232</v>
      </c>
      <c r="P217" s="8">
        <f>0.892+0.784+0.705</f>
        <v>2.3810000000000002</v>
      </c>
      <c r="Q217" s="8"/>
      <c r="R217" s="8"/>
      <c r="S217" s="8">
        <v>2.101</v>
      </c>
      <c r="T217" s="8">
        <f>0.463+1.65+1.141</f>
        <v>3.254</v>
      </c>
      <c r="U217" s="8"/>
      <c r="V217" s="8">
        <f t="shared" si="59"/>
        <v>1.9326298701298703</v>
      </c>
      <c r="W217" s="8"/>
      <c r="X217" s="8">
        <f t="shared" ref="X217:X222" si="60">T217/S217</f>
        <v>1.5487862922417897</v>
      </c>
      <c r="Y217" s="31">
        <f t="shared" si="53"/>
        <v>-0.24072594552282492</v>
      </c>
      <c r="Z217" s="31">
        <f t="shared" si="54"/>
        <v>-0.24072594552282492</v>
      </c>
      <c r="AA217" s="31" t="str">
        <f t="shared" si="55"/>
        <v/>
      </c>
    </row>
    <row r="218" spans="1:27" x14ac:dyDescent="0.25">
      <c r="A218" s="6" t="str">
        <f t="shared" si="49"/>
        <v>complete</v>
      </c>
      <c r="B218" s="6" t="s">
        <v>182</v>
      </c>
      <c r="C218" s="6" t="str">
        <f t="shared" si="50"/>
        <v>HC105 428</v>
      </c>
      <c r="D218" s="6" t="s">
        <v>181</v>
      </c>
      <c r="E218" s="20">
        <v>428</v>
      </c>
      <c r="F218" s="6" t="s">
        <v>154</v>
      </c>
      <c r="G218" s="6" t="s">
        <v>239</v>
      </c>
      <c r="H218" s="6" t="s">
        <v>979</v>
      </c>
      <c r="I218" s="6" t="s">
        <v>5</v>
      </c>
      <c r="J218" s="29">
        <v>23.785</v>
      </c>
      <c r="K218" s="8">
        <f t="shared" si="51"/>
        <v>1.3763031557559204</v>
      </c>
      <c r="L218" s="8">
        <f t="shared" si="52"/>
        <v>7.7742253158723358</v>
      </c>
      <c r="M218" s="8">
        <v>0.87</v>
      </c>
      <c r="N218" s="8">
        <f>0.573+0.592</f>
        <v>1.165</v>
      </c>
      <c r="O218" s="8">
        <v>0.95699999999999996</v>
      </c>
      <c r="P218" s="8">
        <f>0.674+0.548+0.434</f>
        <v>1.6559999999999999</v>
      </c>
      <c r="Q218" s="8"/>
      <c r="R218" s="8"/>
      <c r="S218" s="8">
        <v>1.4750000000000001</v>
      </c>
      <c r="T218" s="8">
        <f>0.979+0.876</f>
        <v>1.855</v>
      </c>
      <c r="U218" s="8">
        <f>N218/M218</f>
        <v>1.3390804597701149</v>
      </c>
      <c r="V218" s="8">
        <f t="shared" si="59"/>
        <v>1.7304075235109717</v>
      </c>
      <c r="W218" s="8"/>
      <c r="X218" s="8">
        <f t="shared" si="60"/>
        <v>1.2576271186440677</v>
      </c>
      <c r="Y218" s="31">
        <f t="shared" si="53"/>
        <v>-0.15907719293251657</v>
      </c>
      <c r="Z218" s="31" t="str">
        <f t="shared" si="54"/>
        <v/>
      </c>
      <c r="AA218" s="31">
        <f t="shared" si="55"/>
        <v>-0.15907719293251657</v>
      </c>
    </row>
    <row r="219" spans="1:27" x14ac:dyDescent="0.25">
      <c r="A219" s="6" t="str">
        <f t="shared" si="49"/>
        <v>complete</v>
      </c>
      <c r="B219" s="6" t="s">
        <v>182</v>
      </c>
      <c r="C219" s="6" t="str">
        <f t="shared" si="50"/>
        <v>HC105 517</v>
      </c>
      <c r="D219" s="6" t="s">
        <v>181</v>
      </c>
      <c r="E219" s="20">
        <v>517</v>
      </c>
      <c r="F219" s="6" t="s">
        <v>161</v>
      </c>
      <c r="G219" s="6" t="s">
        <v>240</v>
      </c>
      <c r="H219" s="6" t="s">
        <v>977</v>
      </c>
      <c r="I219" s="6" t="s">
        <v>5</v>
      </c>
      <c r="J219" s="29">
        <v>37.527000000000001</v>
      </c>
      <c r="K219" s="8">
        <f t="shared" si="51"/>
        <v>1.5743438472395634</v>
      </c>
      <c r="L219" s="8">
        <f t="shared" si="52"/>
        <v>8.2302308598888061</v>
      </c>
      <c r="M219" s="8">
        <v>1.7929999999999999</v>
      </c>
      <c r="N219" s="8">
        <f>0.806+1.249</f>
        <v>2.0550000000000002</v>
      </c>
      <c r="O219" s="8">
        <v>2.1749999999999998</v>
      </c>
      <c r="P219" s="8">
        <f>0.724+0.265+1.297+0.37+0.751</f>
        <v>3.407</v>
      </c>
      <c r="Q219" s="8"/>
      <c r="R219" s="8"/>
      <c r="S219" s="8">
        <v>2.2160000000000002</v>
      </c>
      <c r="T219" s="8">
        <f>1.114+1.399</f>
        <v>2.5129999999999999</v>
      </c>
      <c r="U219" s="8">
        <f>N219/M219</f>
        <v>1.1461238148354713</v>
      </c>
      <c r="V219" s="8">
        <f t="shared" si="59"/>
        <v>1.5664367816091955</v>
      </c>
      <c r="W219" s="8"/>
      <c r="X219" s="8">
        <f t="shared" si="60"/>
        <v>1.1340252707581226</v>
      </c>
      <c r="Y219" s="31">
        <f t="shared" si="53"/>
        <v>-0.10795417690295718</v>
      </c>
      <c r="Z219" s="31" t="str">
        <f t="shared" si="54"/>
        <v/>
      </c>
      <c r="AA219" s="31">
        <f t="shared" si="55"/>
        <v>-0.10795417690295718</v>
      </c>
    </row>
    <row r="220" spans="1:27" x14ac:dyDescent="0.25">
      <c r="A220" s="6" t="str">
        <f t="shared" si="49"/>
        <v>fragment</v>
      </c>
      <c r="B220" s="6" t="s">
        <v>182</v>
      </c>
      <c r="C220" s="6" t="str">
        <f t="shared" si="50"/>
        <v>HC105 517</v>
      </c>
      <c r="D220" s="6" t="s">
        <v>181</v>
      </c>
      <c r="E220" s="20">
        <v>517</v>
      </c>
      <c r="F220" s="6" t="s">
        <v>161</v>
      </c>
      <c r="G220" s="6" t="s">
        <v>241</v>
      </c>
      <c r="H220" s="6" t="s">
        <v>977</v>
      </c>
      <c r="I220" s="6" t="s">
        <v>5</v>
      </c>
      <c r="J220" s="29"/>
      <c r="K220" s="8" t="str">
        <f t="shared" si="51"/>
        <v/>
      </c>
      <c r="L220" s="8" t="str">
        <f t="shared" si="52"/>
        <v/>
      </c>
      <c r="M220" s="8"/>
      <c r="N220" s="8"/>
      <c r="O220" s="8">
        <v>1.806</v>
      </c>
      <c r="P220" s="8">
        <f>0.47+0.829+0.618</f>
        <v>1.9169999999999998</v>
      </c>
      <c r="Q220" s="8"/>
      <c r="R220" s="8"/>
      <c r="S220" s="8">
        <v>3.2189999999999999</v>
      </c>
      <c r="T220" s="8">
        <f>1.608+1.854</f>
        <v>3.4620000000000002</v>
      </c>
      <c r="U220" s="8"/>
      <c r="V220" s="8">
        <f t="shared" si="59"/>
        <v>1.0614617940199333</v>
      </c>
      <c r="W220" s="8"/>
      <c r="X220" s="8">
        <f t="shared" si="60"/>
        <v>1.0754892823858342</v>
      </c>
      <c r="Y220" s="31">
        <f t="shared" si="53"/>
        <v>-2.87645838280122E-2</v>
      </c>
      <c r="Z220" s="31">
        <f t="shared" si="54"/>
        <v>-2.87645838280122E-2</v>
      </c>
      <c r="AA220" s="31" t="str">
        <f t="shared" si="55"/>
        <v/>
      </c>
    </row>
    <row r="221" spans="1:27" x14ac:dyDescent="0.25">
      <c r="A221" s="6" t="str">
        <f t="shared" si="49"/>
        <v>complete</v>
      </c>
      <c r="B221" s="6" t="s">
        <v>182</v>
      </c>
      <c r="C221" s="6" t="str">
        <f t="shared" si="50"/>
        <v>HC105 517</v>
      </c>
      <c r="D221" s="6" t="s">
        <v>181</v>
      </c>
      <c r="E221" s="20">
        <v>517</v>
      </c>
      <c r="F221" s="6" t="s">
        <v>161</v>
      </c>
      <c r="G221" s="6" t="s">
        <v>242</v>
      </c>
      <c r="H221" s="6" t="s">
        <v>977</v>
      </c>
      <c r="I221" s="6" t="s">
        <v>5</v>
      </c>
      <c r="J221" s="29">
        <f>12.363*2</f>
        <v>24.725999999999999</v>
      </c>
      <c r="K221" s="8">
        <f t="shared" si="51"/>
        <v>1.3931538649082318</v>
      </c>
      <c r="L221" s="8">
        <f t="shared" si="52"/>
        <v>7.813025507572827</v>
      </c>
      <c r="M221" s="8"/>
      <c r="N221" s="8"/>
      <c r="O221" s="8">
        <v>1.6459999999999999</v>
      </c>
      <c r="P221" s="8">
        <f>0.595+0.72+0.797+0.55</f>
        <v>2.6619999999999999</v>
      </c>
      <c r="Q221" s="8"/>
      <c r="R221" s="8"/>
      <c r="S221" s="8">
        <v>1.3540000000000001</v>
      </c>
      <c r="T221" s="8">
        <f>0.557+0.87+0.851</f>
        <v>2.278</v>
      </c>
      <c r="U221" s="8"/>
      <c r="V221" s="8">
        <f t="shared" si="59"/>
        <v>1.6172539489671933</v>
      </c>
      <c r="W221" s="8"/>
      <c r="X221" s="8">
        <f t="shared" si="60"/>
        <v>1.6824224519940916</v>
      </c>
      <c r="Y221" s="31">
        <f t="shared" si="53"/>
        <v>-0.21744135507212495</v>
      </c>
      <c r="Z221" s="31" t="str">
        <f t="shared" si="54"/>
        <v/>
      </c>
      <c r="AA221" s="31">
        <f t="shared" si="55"/>
        <v>-0.21744135507212495</v>
      </c>
    </row>
    <row r="222" spans="1:27" x14ac:dyDescent="0.25">
      <c r="A222" s="6" t="str">
        <f t="shared" si="49"/>
        <v>fragment</v>
      </c>
      <c r="B222" s="6" t="s">
        <v>182</v>
      </c>
      <c r="C222" s="6" t="str">
        <f t="shared" si="50"/>
        <v>HC105 517</v>
      </c>
      <c r="D222" s="6" t="s">
        <v>181</v>
      </c>
      <c r="E222" s="20">
        <v>517</v>
      </c>
      <c r="F222" s="6" t="s">
        <v>161</v>
      </c>
      <c r="G222" s="6" t="s">
        <v>243</v>
      </c>
      <c r="H222" s="6" t="s">
        <v>977</v>
      </c>
      <c r="I222" s="6" t="s">
        <v>5</v>
      </c>
      <c r="J222" s="29"/>
      <c r="K222" s="8" t="str">
        <f t="shared" si="51"/>
        <v/>
      </c>
      <c r="L222" s="8" t="str">
        <f t="shared" si="52"/>
        <v/>
      </c>
      <c r="M222" s="8"/>
      <c r="N222" s="8"/>
      <c r="O222" s="8">
        <v>1.351</v>
      </c>
      <c r="P222" s="8">
        <f>0.704+0.834+0.466</f>
        <v>2.004</v>
      </c>
      <c r="Q222" s="8"/>
      <c r="R222" s="8"/>
      <c r="S222" s="8">
        <v>1.522</v>
      </c>
      <c r="T222" s="8">
        <f>1.015+ 0.727</f>
        <v>1.742</v>
      </c>
      <c r="U222" s="8"/>
      <c r="V222" s="8">
        <f t="shared" si="59"/>
        <v>1.4833456698741674</v>
      </c>
      <c r="W222" s="8"/>
      <c r="X222" s="8">
        <f t="shared" si="60"/>
        <v>1.1445466491458607</v>
      </c>
      <c r="Y222" s="31">
        <f t="shared" si="53"/>
        <v>-0.11857756986092893</v>
      </c>
      <c r="Z222" s="31">
        <f t="shared" si="54"/>
        <v>-0.11857756986092893</v>
      </c>
      <c r="AA222" s="31" t="str">
        <f t="shared" si="55"/>
        <v/>
      </c>
    </row>
    <row r="223" spans="1:27" x14ac:dyDescent="0.25">
      <c r="A223" s="6" t="str">
        <f t="shared" si="49"/>
        <v>fragment</v>
      </c>
      <c r="B223" s="6" t="s">
        <v>182</v>
      </c>
      <c r="C223" s="6" t="str">
        <f t="shared" si="50"/>
        <v>HC105 517</v>
      </c>
      <c r="D223" s="6" t="s">
        <v>181</v>
      </c>
      <c r="E223" s="20">
        <v>517</v>
      </c>
      <c r="F223" s="6" t="s">
        <v>161</v>
      </c>
      <c r="G223" s="6" t="s">
        <v>244</v>
      </c>
      <c r="H223" s="6" t="s">
        <v>977</v>
      </c>
      <c r="I223" s="6" t="s">
        <v>5</v>
      </c>
      <c r="J223" s="29"/>
      <c r="K223" s="8" t="str">
        <f t="shared" si="51"/>
        <v/>
      </c>
      <c r="L223" s="8" t="str">
        <f t="shared" si="52"/>
        <v/>
      </c>
      <c r="M223" s="8"/>
      <c r="N223" s="8"/>
      <c r="O223" s="8">
        <v>2.2999999999999998</v>
      </c>
      <c r="P223" s="8">
        <f>0.971+1.449+0.727</f>
        <v>3.1469999999999998</v>
      </c>
      <c r="Q223" s="8">
        <v>1.2</v>
      </c>
      <c r="R223" s="8">
        <f>0.836+0.875</f>
        <v>1.7109999999999999</v>
      </c>
      <c r="S223" s="8"/>
      <c r="T223" s="8"/>
      <c r="U223" s="8"/>
      <c r="V223" s="8">
        <f t="shared" si="59"/>
        <v>1.3682608695652174</v>
      </c>
      <c r="W223" s="8">
        <f>R223/Q223</f>
        <v>1.4258333333333333</v>
      </c>
      <c r="X223" s="8"/>
      <c r="Y223" s="31">
        <f t="shared" si="53"/>
        <v>-0.14521104860141937</v>
      </c>
      <c r="Z223" s="31">
        <f t="shared" si="54"/>
        <v>-0.14521104860141937</v>
      </c>
      <c r="AA223" s="31" t="str">
        <f t="shared" si="55"/>
        <v/>
      </c>
    </row>
    <row r="224" spans="1:27" x14ac:dyDescent="0.25">
      <c r="A224" s="6" t="str">
        <f t="shared" si="49"/>
        <v>fragment</v>
      </c>
      <c r="B224" s="6" t="s">
        <v>182</v>
      </c>
      <c r="C224" s="6" t="str">
        <f t="shared" si="50"/>
        <v>HC105 517</v>
      </c>
      <c r="D224" s="6" t="s">
        <v>181</v>
      </c>
      <c r="E224" s="20">
        <v>517</v>
      </c>
      <c r="F224" s="6" t="s">
        <v>161</v>
      </c>
      <c r="G224" s="6" t="s">
        <v>245</v>
      </c>
      <c r="H224" s="6" t="s">
        <v>977</v>
      </c>
      <c r="I224" s="6" t="s">
        <v>5</v>
      </c>
      <c r="J224" s="29"/>
      <c r="K224" s="8" t="str">
        <f t="shared" si="51"/>
        <v/>
      </c>
      <c r="L224" s="8" t="str">
        <f t="shared" si="52"/>
        <v/>
      </c>
      <c r="M224" s="8"/>
      <c r="N224" s="8"/>
      <c r="O224" s="8">
        <v>2.76</v>
      </c>
      <c r="P224" s="8">
        <f>1.425+1.247</f>
        <v>2.6720000000000002</v>
      </c>
      <c r="Q224" s="8"/>
      <c r="R224" s="8"/>
      <c r="S224" s="8">
        <v>3.9750000000000001</v>
      </c>
      <c r="T224" s="8">
        <f>1.597+1.684</f>
        <v>3.2809999999999997</v>
      </c>
      <c r="U224" s="8"/>
      <c r="V224" s="8">
        <f t="shared" si="59"/>
        <v>0.96811594202898565</v>
      </c>
      <c r="W224" s="8"/>
      <c r="X224" s="8">
        <f>T224/S224</f>
        <v>0.82540880503144642</v>
      </c>
      <c r="Y224" s="31">
        <f t="shared" si="53"/>
        <v>4.7322622213946404E-2</v>
      </c>
      <c r="Z224" s="31">
        <f t="shared" si="54"/>
        <v>4.7322622213946404E-2</v>
      </c>
      <c r="AA224" s="31" t="str">
        <f t="shared" si="55"/>
        <v/>
      </c>
    </row>
    <row r="225" spans="1:27" x14ac:dyDescent="0.25">
      <c r="A225" s="6" t="str">
        <f t="shared" si="49"/>
        <v>complete</v>
      </c>
      <c r="B225" s="6" t="s">
        <v>182</v>
      </c>
      <c r="C225" s="6" t="str">
        <f t="shared" si="50"/>
        <v>HC105 517</v>
      </c>
      <c r="D225" s="6" t="s">
        <v>181</v>
      </c>
      <c r="E225" s="20">
        <v>517</v>
      </c>
      <c r="F225" s="6" t="s">
        <v>161</v>
      </c>
      <c r="G225" s="6" t="s">
        <v>246</v>
      </c>
      <c r="H225" s="6" t="s">
        <v>977</v>
      </c>
      <c r="I225" s="6" t="s">
        <v>5</v>
      </c>
      <c r="J225" s="29">
        <f>15.228*2</f>
        <v>30.456</v>
      </c>
      <c r="K225" s="8">
        <f t="shared" si="51"/>
        <v>1.4836728638063108</v>
      </c>
      <c r="L225" s="8">
        <f t="shared" si="52"/>
        <v>8.021453205068287</v>
      </c>
      <c r="M225" s="8"/>
      <c r="N225" s="8"/>
      <c r="O225" s="8">
        <v>1.9159999999999999</v>
      </c>
      <c r="P225" s="8">
        <f>0.619+1.139+0.298+1.02+0.116</f>
        <v>3.1920000000000002</v>
      </c>
      <c r="Q225" s="8"/>
      <c r="R225" s="8"/>
      <c r="S225" s="8">
        <v>2.968</v>
      </c>
      <c r="T225" s="8">
        <f>0.898+1.44+0.953</f>
        <v>3.2909999999999999</v>
      </c>
      <c r="U225" s="8"/>
      <c r="V225" s="8">
        <f t="shared" si="59"/>
        <v>1.665970772442589</v>
      </c>
      <c r="W225" s="8"/>
      <c r="X225" s="8">
        <f>T225/S225</f>
        <v>1.1088274932614555</v>
      </c>
      <c r="Y225" s="31">
        <f t="shared" si="53"/>
        <v>-0.14220141872218464</v>
      </c>
      <c r="Z225" s="31" t="str">
        <f t="shared" si="54"/>
        <v/>
      </c>
      <c r="AA225" s="31">
        <f t="shared" si="55"/>
        <v>-0.14220141872218464</v>
      </c>
    </row>
    <row r="226" spans="1:27" x14ac:dyDescent="0.25">
      <c r="A226" s="6" t="str">
        <f t="shared" si="49"/>
        <v>complete</v>
      </c>
      <c r="B226" s="6" t="s">
        <v>182</v>
      </c>
      <c r="C226" s="6" t="str">
        <f t="shared" si="50"/>
        <v>HC105 574</v>
      </c>
      <c r="D226" s="22" t="s">
        <v>181</v>
      </c>
      <c r="E226" s="22">
        <v>574</v>
      </c>
      <c r="F226" s="22"/>
      <c r="G226" s="24" t="s">
        <v>1183</v>
      </c>
      <c r="H226" s="24" t="s">
        <v>977</v>
      </c>
      <c r="I226" s="6" t="s">
        <v>5</v>
      </c>
      <c r="J226" s="30">
        <f>11.716*2</f>
        <v>23.431999999999999</v>
      </c>
      <c r="K226" s="8">
        <f t="shared" si="51"/>
        <v>1.3698093586735423</v>
      </c>
      <c r="L226" s="8">
        <f t="shared" si="52"/>
        <v>7.7592727955135237</v>
      </c>
      <c r="M226" s="23">
        <v>0.68500000000000005</v>
      </c>
      <c r="N226" s="23">
        <f>0.613+0.298</f>
        <v>0.91100000000000003</v>
      </c>
      <c r="O226" s="23">
        <v>1.103</v>
      </c>
      <c r="P226" s="23">
        <f>0.75+0.912</f>
        <v>1.6619999999999999</v>
      </c>
      <c r="Q226" s="23">
        <v>0.41399999999999998</v>
      </c>
      <c r="R226" s="23">
        <f>0.478+0.608</f>
        <v>1.0859999999999999</v>
      </c>
      <c r="S226" s="8"/>
      <c r="T226" s="8"/>
      <c r="U226" s="8">
        <v>1.3299270072992699</v>
      </c>
      <c r="V226" s="8">
        <v>1.5067996373526744</v>
      </c>
      <c r="W226" s="8">
        <v>2.6231884057971011</v>
      </c>
      <c r="X226" s="8"/>
      <c r="Y226" s="31">
        <f t="shared" si="53"/>
        <v>-0.26006463095060151</v>
      </c>
      <c r="Z226" s="31" t="str">
        <f t="shared" si="54"/>
        <v/>
      </c>
      <c r="AA226" s="31">
        <f t="shared" si="55"/>
        <v>-0.26006463095060151</v>
      </c>
    </row>
    <row r="227" spans="1:27" x14ac:dyDescent="0.25">
      <c r="A227" s="6" t="str">
        <f t="shared" si="49"/>
        <v>fragment</v>
      </c>
      <c r="B227" s="6" t="s">
        <v>182</v>
      </c>
      <c r="C227" s="6" t="str">
        <f t="shared" si="50"/>
        <v>HC105 574</v>
      </c>
      <c r="D227" s="22" t="s">
        <v>181</v>
      </c>
      <c r="E227" s="22">
        <v>574</v>
      </c>
      <c r="F227" s="1"/>
      <c r="G227" s="24" t="s">
        <v>1184</v>
      </c>
      <c r="H227" s="24" t="s">
        <v>977</v>
      </c>
      <c r="I227" s="6" t="s">
        <v>5</v>
      </c>
      <c r="J227" s="30"/>
      <c r="K227" s="8" t="str">
        <f t="shared" si="51"/>
        <v/>
      </c>
      <c r="L227" s="8" t="str">
        <f t="shared" si="52"/>
        <v/>
      </c>
      <c r="M227" s="23"/>
      <c r="N227" s="23"/>
      <c r="O227" s="23">
        <v>0.72899999999999998</v>
      </c>
      <c r="P227" s="23">
        <f>0.537+0.66+0.304</f>
        <v>1.5010000000000001</v>
      </c>
      <c r="Q227" s="23">
        <v>1.5720000000000001</v>
      </c>
      <c r="R227" s="23">
        <f>0.799+0.842+0.945+0.277</f>
        <v>2.863</v>
      </c>
      <c r="S227" s="8"/>
      <c r="T227" s="8"/>
      <c r="U227" s="8"/>
      <c r="V227" s="8">
        <v>2.058984910836763</v>
      </c>
      <c r="W227" s="8">
        <v>1.8212468193384224</v>
      </c>
      <c r="X227" s="8"/>
      <c r="Y227" s="31">
        <f t="shared" si="53"/>
        <v>-0.28782766707744084</v>
      </c>
      <c r="Z227" s="31">
        <f t="shared" si="54"/>
        <v>-0.28782766707744084</v>
      </c>
      <c r="AA227" s="31" t="str">
        <f t="shared" si="55"/>
        <v/>
      </c>
    </row>
    <row r="228" spans="1:27" x14ac:dyDescent="0.25">
      <c r="A228" s="6" t="str">
        <f t="shared" si="49"/>
        <v>fragment</v>
      </c>
      <c r="B228" s="6" t="s">
        <v>182</v>
      </c>
      <c r="C228" s="6" t="str">
        <f t="shared" si="50"/>
        <v>HC105 574</v>
      </c>
      <c r="D228" s="22" t="s">
        <v>181</v>
      </c>
      <c r="E228" s="22">
        <v>574</v>
      </c>
      <c r="F228" s="22"/>
      <c r="G228" s="24" t="s">
        <v>1185</v>
      </c>
      <c r="H228" s="24" t="s">
        <v>977</v>
      </c>
      <c r="I228" s="6" t="s">
        <v>5</v>
      </c>
      <c r="J228" s="30"/>
      <c r="K228" s="8" t="str">
        <f t="shared" si="51"/>
        <v/>
      </c>
      <c r="L228" s="8" t="str">
        <f t="shared" si="52"/>
        <v/>
      </c>
      <c r="M228" s="23">
        <v>1.143</v>
      </c>
      <c r="N228" s="23">
        <f>1.256+0.648</f>
        <v>1.9039999999999999</v>
      </c>
      <c r="O228" s="23">
        <v>1.3740000000000001</v>
      </c>
      <c r="P228" s="23">
        <f>0.278+0.859+0.723</f>
        <v>1.8599999999999999</v>
      </c>
      <c r="Q228" s="23">
        <v>1.3959999999999999</v>
      </c>
      <c r="R228" s="23">
        <f>0.885+0.952+1.033</f>
        <v>2.87</v>
      </c>
      <c r="S228" s="8"/>
      <c r="T228" s="8"/>
      <c r="U228" s="8">
        <v>1.6657917760279963</v>
      </c>
      <c r="V228" s="8">
        <v>1.3537117903930129</v>
      </c>
      <c r="W228" s="8">
        <v>2.0558739255014329</v>
      </c>
      <c r="X228" s="8"/>
      <c r="Y228" s="31">
        <f t="shared" si="53"/>
        <v>-0.22834709463641328</v>
      </c>
      <c r="Z228" s="31">
        <f t="shared" si="54"/>
        <v>-0.22834709463641328</v>
      </c>
      <c r="AA228" s="31" t="str">
        <f t="shared" si="55"/>
        <v/>
      </c>
    </row>
    <row r="229" spans="1:27" x14ac:dyDescent="0.25">
      <c r="A229" s="6" t="str">
        <f t="shared" si="49"/>
        <v>fragment</v>
      </c>
      <c r="B229" s="6" t="s">
        <v>182</v>
      </c>
      <c r="C229" s="6" t="str">
        <f t="shared" si="50"/>
        <v>HC105 86158</v>
      </c>
      <c r="D229" s="22" t="s">
        <v>181</v>
      </c>
      <c r="E229" s="20">
        <v>86158</v>
      </c>
      <c r="F229" s="22"/>
      <c r="G229" s="22" t="s">
        <v>1172</v>
      </c>
      <c r="H229" s="22" t="s">
        <v>979</v>
      </c>
      <c r="I229" s="6" t="s">
        <v>5</v>
      </c>
      <c r="J229" s="30"/>
      <c r="K229" s="8" t="str">
        <f t="shared" si="51"/>
        <v/>
      </c>
      <c r="L229" s="8" t="str">
        <f t="shared" si="52"/>
        <v/>
      </c>
      <c r="M229" s="23"/>
      <c r="N229" s="23"/>
      <c r="O229" s="23"/>
      <c r="P229" s="23"/>
      <c r="Q229" s="23">
        <v>3.7949999999999999</v>
      </c>
      <c r="R229" s="23">
        <f>0.77+2.501+1.049</f>
        <v>4.32</v>
      </c>
      <c r="S229" s="8"/>
      <c r="T229" s="8"/>
      <c r="U229" s="8"/>
      <c r="V229" s="8"/>
      <c r="W229" s="8">
        <v>1.1383399209486167</v>
      </c>
      <c r="X229" s="8"/>
      <c r="Y229" s="31">
        <f t="shared" si="53"/>
        <v>-5.6271966583412991E-2</v>
      </c>
      <c r="Z229" s="31">
        <f t="shared" si="54"/>
        <v>-5.6271966583412991E-2</v>
      </c>
      <c r="AA229" s="31" t="str">
        <f t="shared" si="55"/>
        <v/>
      </c>
    </row>
    <row r="230" spans="1:27" x14ac:dyDescent="0.25">
      <c r="A230" s="6" t="str">
        <f t="shared" si="49"/>
        <v>complete</v>
      </c>
      <c r="B230" s="6" t="s">
        <v>182</v>
      </c>
      <c r="C230" s="6" t="str">
        <f t="shared" si="50"/>
        <v>HC105 87110</v>
      </c>
      <c r="D230" s="22" t="s">
        <v>181</v>
      </c>
      <c r="E230" s="20">
        <v>87110</v>
      </c>
      <c r="F230" s="22"/>
      <c r="G230" s="22" t="s">
        <v>250</v>
      </c>
      <c r="H230" s="6" t="s">
        <v>978</v>
      </c>
      <c r="I230" s="6" t="s">
        <v>5</v>
      </c>
      <c r="J230" s="30">
        <v>34.709000000000003</v>
      </c>
      <c r="K230" s="8">
        <f t="shared" si="51"/>
        <v>1.5404421014058383</v>
      </c>
      <c r="L230" s="8">
        <f t="shared" si="52"/>
        <v>8.1521692053055972</v>
      </c>
      <c r="M230" s="23">
        <v>1.1499999999999999</v>
      </c>
      <c r="N230" s="23">
        <f>0.545+0.739+0.451</f>
        <v>1.7350000000000001</v>
      </c>
      <c r="O230" s="23">
        <v>3.5230000000000001</v>
      </c>
      <c r="P230" s="23">
        <f>1.292+1.136+1.422+0.227</f>
        <v>4.077</v>
      </c>
      <c r="Q230" s="23">
        <v>2.81</v>
      </c>
      <c r="R230" s="23">
        <f>0.707+1.375+1.533+0.178</f>
        <v>3.7929999999999997</v>
      </c>
      <c r="S230" s="8"/>
      <c r="T230" s="8"/>
      <c r="U230" s="8">
        <v>1.5086956521739132</v>
      </c>
      <c r="V230" s="8">
        <v>1.1572523417541867</v>
      </c>
      <c r="W230" s="8">
        <v>1.3498220640569394</v>
      </c>
      <c r="X230" s="8"/>
      <c r="Y230" s="31">
        <f t="shared" si="53"/>
        <v>-0.12664758253302419</v>
      </c>
      <c r="Z230" s="31" t="str">
        <f t="shared" si="54"/>
        <v/>
      </c>
      <c r="AA230" s="31">
        <f t="shared" si="55"/>
        <v>-0.12664758253302419</v>
      </c>
    </row>
    <row r="231" spans="1:27" x14ac:dyDescent="0.25">
      <c r="A231" s="6" t="str">
        <f t="shared" si="49"/>
        <v>complete</v>
      </c>
      <c r="B231" s="6" t="s">
        <v>182</v>
      </c>
      <c r="C231" s="6" t="str">
        <f t="shared" si="50"/>
        <v>HC105 87110</v>
      </c>
      <c r="D231" s="22" t="s">
        <v>181</v>
      </c>
      <c r="E231" s="20">
        <v>87110</v>
      </c>
      <c r="F231" s="22"/>
      <c r="G231" s="22" t="s">
        <v>1173</v>
      </c>
      <c r="H231" s="6" t="s">
        <v>978</v>
      </c>
      <c r="I231" s="6" t="s">
        <v>5</v>
      </c>
      <c r="J231" s="30">
        <v>46.872999999999998</v>
      </c>
      <c r="K231" s="8">
        <f t="shared" si="51"/>
        <v>1.670922750442565</v>
      </c>
      <c r="L231" s="8">
        <f t="shared" si="52"/>
        <v>8.4526120027017519</v>
      </c>
      <c r="M231" s="23">
        <v>2.4430000000000001</v>
      </c>
      <c r="N231" s="23">
        <f>1.52+1.411+0.479</f>
        <v>3.41</v>
      </c>
      <c r="O231" s="23">
        <v>1.7430000000000001</v>
      </c>
      <c r="P231" s="23">
        <f>1.128+1.259</f>
        <v>2.3869999999999996</v>
      </c>
      <c r="Q231" s="23">
        <v>3.6989999999999998</v>
      </c>
      <c r="R231" s="23">
        <f>1.108+1.726+0.769</f>
        <v>3.6030000000000002</v>
      </c>
      <c r="S231" s="8"/>
      <c r="T231" s="8"/>
      <c r="U231" s="8">
        <v>1.395824805566926</v>
      </c>
      <c r="V231" s="8">
        <v>1.3694779116465861</v>
      </c>
      <c r="W231" s="8">
        <v>0.97404703974047047</v>
      </c>
      <c r="X231" s="8"/>
      <c r="Y231" s="31">
        <f t="shared" si="53"/>
        <v>-9.5674833705778534E-2</v>
      </c>
      <c r="Z231" s="31" t="str">
        <f t="shared" si="54"/>
        <v/>
      </c>
      <c r="AA231" s="31">
        <f t="shared" si="55"/>
        <v>-9.5674833705778534E-2</v>
      </c>
    </row>
    <row r="232" spans="1:27" x14ac:dyDescent="0.25">
      <c r="A232" s="6" t="str">
        <f t="shared" si="49"/>
        <v>complete</v>
      </c>
      <c r="B232" s="6" t="s">
        <v>182</v>
      </c>
      <c r="C232" s="6" t="str">
        <f t="shared" si="50"/>
        <v>HC105 87110</v>
      </c>
      <c r="D232" s="22" t="s">
        <v>181</v>
      </c>
      <c r="E232" s="20">
        <v>87110</v>
      </c>
      <c r="F232" s="1"/>
      <c r="G232" s="24" t="s">
        <v>1174</v>
      </c>
      <c r="H232" s="6" t="s">
        <v>978</v>
      </c>
      <c r="I232" s="6" t="s">
        <v>5</v>
      </c>
      <c r="J232" s="30">
        <v>20.254000000000001</v>
      </c>
      <c r="K232" s="8">
        <f t="shared" si="51"/>
        <v>1.3065108056433825</v>
      </c>
      <c r="L232" s="8">
        <f t="shared" si="52"/>
        <v>7.6135224908981849</v>
      </c>
      <c r="M232" s="23">
        <v>1.139</v>
      </c>
      <c r="N232" s="23">
        <f>1.07+1.007</f>
        <v>2.077</v>
      </c>
      <c r="O232" s="23">
        <v>0.81599999999999995</v>
      </c>
      <c r="P232" s="23">
        <f>0.521+0.632+0.423</f>
        <v>1.5760000000000001</v>
      </c>
      <c r="Q232" s="23">
        <v>0.69099999999999995</v>
      </c>
      <c r="R232" s="23">
        <f>0.54+0.403</f>
        <v>0.94300000000000006</v>
      </c>
      <c r="S232" s="8"/>
      <c r="T232" s="8"/>
      <c r="U232" s="8">
        <v>1.8235294117647058</v>
      </c>
      <c r="V232" s="8">
        <v>1.9313725490196081</v>
      </c>
      <c r="W232" s="8">
        <v>1.364688856729378</v>
      </c>
      <c r="X232" s="8"/>
      <c r="Y232" s="31">
        <f t="shared" si="53"/>
        <v>-0.2321139967254543</v>
      </c>
      <c r="Z232" s="31" t="str">
        <f t="shared" si="54"/>
        <v/>
      </c>
      <c r="AA232" s="31">
        <f t="shared" si="55"/>
        <v>-0.2321139967254543</v>
      </c>
    </row>
    <row r="233" spans="1:27" x14ac:dyDescent="0.25">
      <c r="A233" s="6" t="str">
        <f t="shared" si="49"/>
        <v>complete</v>
      </c>
      <c r="B233" s="6" t="s">
        <v>182</v>
      </c>
      <c r="C233" s="6" t="str">
        <f t="shared" si="50"/>
        <v>HC105 87110</v>
      </c>
      <c r="D233" s="22" t="s">
        <v>181</v>
      </c>
      <c r="E233" s="20">
        <v>87110</v>
      </c>
      <c r="F233" s="22"/>
      <c r="G233" s="24" t="s">
        <v>1175</v>
      </c>
      <c r="H233" s="6" t="s">
        <v>978</v>
      </c>
      <c r="I233" s="6" t="s">
        <v>5</v>
      </c>
      <c r="J233" s="30">
        <v>35.545000000000002</v>
      </c>
      <c r="K233" s="8">
        <f t="shared" si="51"/>
        <v>1.5507785185642562</v>
      </c>
      <c r="L233" s="8">
        <f t="shared" si="52"/>
        <v>8.1759696853695374</v>
      </c>
      <c r="M233" s="23">
        <v>1.4330000000000001</v>
      </c>
      <c r="N233" s="23">
        <f>0.963+0.381+0.324</f>
        <v>1.6679999999999999</v>
      </c>
      <c r="O233" s="23">
        <v>2.2000000000000002</v>
      </c>
      <c r="P233" s="23">
        <f>0.445+1.236+0.841</f>
        <v>2.5220000000000002</v>
      </c>
      <c r="Q233" s="23">
        <v>2.0819999999999999</v>
      </c>
      <c r="R233" s="23">
        <f>0.966+0.957+0.488</f>
        <v>2.411</v>
      </c>
      <c r="S233" s="8"/>
      <c r="T233" s="8"/>
      <c r="U233" s="8">
        <v>1.1639916259595253</v>
      </c>
      <c r="V233" s="8">
        <v>1.1463636363636365</v>
      </c>
      <c r="W233" s="8">
        <v>1.1580211335254564</v>
      </c>
      <c r="X233" s="8"/>
      <c r="Y233" s="31">
        <f t="shared" si="53"/>
        <v>-6.3004967236143863E-2</v>
      </c>
      <c r="Z233" s="31" t="str">
        <f t="shared" si="54"/>
        <v/>
      </c>
      <c r="AA233" s="31">
        <f t="shared" si="55"/>
        <v>-6.3004967236143863E-2</v>
      </c>
    </row>
    <row r="234" spans="1:27" x14ac:dyDescent="0.25">
      <c r="A234" s="6" t="str">
        <f t="shared" si="49"/>
        <v>fragment</v>
      </c>
      <c r="B234" s="6" t="s">
        <v>182</v>
      </c>
      <c r="C234" s="6" t="str">
        <f t="shared" si="50"/>
        <v>HC105 87110</v>
      </c>
      <c r="D234" s="22" t="s">
        <v>181</v>
      </c>
      <c r="E234" s="20">
        <v>87110</v>
      </c>
      <c r="F234" s="1"/>
      <c r="G234" s="24" t="s">
        <v>1176</v>
      </c>
      <c r="H234" s="6" t="s">
        <v>978</v>
      </c>
      <c r="I234" s="6" t="s">
        <v>5</v>
      </c>
      <c r="J234" s="30"/>
      <c r="K234" s="8" t="str">
        <f t="shared" si="51"/>
        <v/>
      </c>
      <c r="L234" s="8" t="str">
        <f t="shared" si="52"/>
        <v/>
      </c>
      <c r="M234" s="23"/>
      <c r="N234" s="23"/>
      <c r="O234" s="23">
        <v>0.77900000000000003</v>
      </c>
      <c r="P234" s="23">
        <f>0.537+0.345</f>
        <v>0.88200000000000001</v>
      </c>
      <c r="Q234" s="23">
        <v>1.407</v>
      </c>
      <c r="R234" s="23">
        <f>0.407+0.539+0.534+0.624</f>
        <v>2.1040000000000001</v>
      </c>
      <c r="S234" s="8"/>
      <c r="T234" s="8"/>
      <c r="U234" s="8"/>
      <c r="V234" s="8">
        <v>1.1322207958921695</v>
      </c>
      <c r="W234" s="8">
        <v>1.4953802416488984</v>
      </c>
      <c r="X234" s="8"/>
      <c r="Y234" s="31">
        <f t="shared" si="53"/>
        <v>-0.11852942901837044</v>
      </c>
      <c r="Z234" s="31">
        <f t="shared" si="54"/>
        <v>-0.11852942901837044</v>
      </c>
      <c r="AA234" s="31" t="str">
        <f t="shared" si="55"/>
        <v/>
      </c>
    </row>
    <row r="235" spans="1:27" x14ac:dyDescent="0.25">
      <c r="A235" s="6" t="str">
        <f t="shared" si="49"/>
        <v>fragment</v>
      </c>
      <c r="B235" s="6" t="s">
        <v>182</v>
      </c>
      <c r="C235" s="6" t="str">
        <f t="shared" si="50"/>
        <v>HC105 87110</v>
      </c>
      <c r="D235" s="22" t="s">
        <v>181</v>
      </c>
      <c r="E235" s="20">
        <v>87110</v>
      </c>
      <c r="F235" s="22"/>
      <c r="G235" s="24" t="s">
        <v>1177</v>
      </c>
      <c r="H235" s="6" t="s">
        <v>978</v>
      </c>
      <c r="I235" s="6" t="s">
        <v>5</v>
      </c>
      <c r="J235" s="30"/>
      <c r="K235" s="8" t="str">
        <f t="shared" si="51"/>
        <v/>
      </c>
      <c r="L235" s="8" t="str">
        <f t="shared" si="52"/>
        <v/>
      </c>
      <c r="M235" s="23">
        <v>1.5920000000000001</v>
      </c>
      <c r="N235" s="23">
        <f>0.934+0.43</f>
        <v>1.3640000000000001</v>
      </c>
      <c r="O235" s="23">
        <v>1.236</v>
      </c>
      <c r="P235" s="23">
        <f>0.868+1.244+0.366</f>
        <v>2.4780000000000002</v>
      </c>
      <c r="Q235" s="23">
        <v>0.56599999999999995</v>
      </c>
      <c r="R235" s="23">
        <f>0.449+0.706</f>
        <v>1.155</v>
      </c>
      <c r="S235" s="8"/>
      <c r="T235" s="8"/>
      <c r="U235" s="8">
        <v>0.85678391959798994</v>
      </c>
      <c r="V235" s="8">
        <v>2.0048543689320391</v>
      </c>
      <c r="W235" s="8">
        <v>2.0406360424028271</v>
      </c>
      <c r="X235" s="8"/>
      <c r="Y235" s="31">
        <f t="shared" si="53"/>
        <v>-0.21327635596562319</v>
      </c>
      <c r="Z235" s="31">
        <f t="shared" si="54"/>
        <v>-0.21327635596562319</v>
      </c>
      <c r="AA235" s="31" t="str">
        <f t="shared" si="55"/>
        <v/>
      </c>
    </row>
    <row r="236" spans="1:27" x14ac:dyDescent="0.25">
      <c r="A236" s="6" t="str">
        <f t="shared" si="49"/>
        <v>complete</v>
      </c>
      <c r="B236" s="6" t="s">
        <v>182</v>
      </c>
      <c r="C236" s="6" t="str">
        <f t="shared" si="50"/>
        <v>HC105 87110</v>
      </c>
      <c r="D236" s="22" t="s">
        <v>181</v>
      </c>
      <c r="E236" s="20">
        <v>87110</v>
      </c>
      <c r="F236" s="1"/>
      <c r="G236" s="24" t="s">
        <v>1178</v>
      </c>
      <c r="H236" s="6" t="s">
        <v>978</v>
      </c>
      <c r="I236" s="6" t="s">
        <v>5</v>
      </c>
      <c r="J236" s="30">
        <v>19.38</v>
      </c>
      <c r="K236" s="8">
        <f t="shared" si="51"/>
        <v>1.2873537727147466</v>
      </c>
      <c r="L236" s="8">
        <f t="shared" si="52"/>
        <v>7.5694117924507118</v>
      </c>
      <c r="M236" s="23"/>
      <c r="N236" s="23"/>
      <c r="O236" s="23">
        <v>1.2490000000000001</v>
      </c>
      <c r="P236" s="23">
        <f>1.139+0.691</f>
        <v>1.83</v>
      </c>
      <c r="Q236" s="23">
        <v>1.107</v>
      </c>
      <c r="R236" s="23">
        <f>0.667+0.946</f>
        <v>1.613</v>
      </c>
      <c r="S236" s="8"/>
      <c r="T236" s="8"/>
      <c r="U236" s="8"/>
      <c r="V236" s="8">
        <v>1.4651721377101681</v>
      </c>
      <c r="W236" s="8">
        <v>1.4570912375790426</v>
      </c>
      <c r="X236" s="8"/>
      <c r="Y236" s="31">
        <f t="shared" si="53"/>
        <v>-0.16468935942510343</v>
      </c>
      <c r="Z236" s="31" t="str">
        <f t="shared" si="54"/>
        <v/>
      </c>
      <c r="AA236" s="31">
        <f t="shared" si="55"/>
        <v>-0.16468935942510343</v>
      </c>
    </row>
    <row r="237" spans="1:27" x14ac:dyDescent="0.25">
      <c r="A237" s="6" t="str">
        <f t="shared" si="49"/>
        <v>fragment</v>
      </c>
      <c r="B237" s="6" t="s">
        <v>182</v>
      </c>
      <c r="C237" s="6" t="str">
        <f t="shared" si="50"/>
        <v>HC105 87110</v>
      </c>
      <c r="D237" s="22" t="s">
        <v>181</v>
      </c>
      <c r="E237" s="20">
        <v>87110</v>
      </c>
      <c r="F237" s="22"/>
      <c r="G237" s="24" t="s">
        <v>1179</v>
      </c>
      <c r="H237" s="6" t="s">
        <v>978</v>
      </c>
      <c r="I237" s="6" t="s">
        <v>5</v>
      </c>
      <c r="J237" s="30"/>
      <c r="K237" s="8" t="str">
        <f t="shared" si="51"/>
        <v/>
      </c>
      <c r="L237" s="8" t="str">
        <f t="shared" si="52"/>
        <v/>
      </c>
      <c r="M237" s="23"/>
      <c r="N237" s="23"/>
      <c r="O237" s="23">
        <v>1.27</v>
      </c>
      <c r="P237" s="23">
        <f>0.938+0.48</f>
        <v>1.4179999999999999</v>
      </c>
      <c r="Q237" s="23">
        <v>1.113</v>
      </c>
      <c r="R237" s="23">
        <f>0.811+0.674+0.434</f>
        <v>1.919</v>
      </c>
      <c r="S237" s="8"/>
      <c r="T237" s="8"/>
      <c r="U237" s="8"/>
      <c r="V237" s="8">
        <v>1.1165354330708661</v>
      </c>
      <c r="W237" s="8">
        <v>1.7241689128481581</v>
      </c>
      <c r="X237" s="8"/>
      <c r="Y237" s="31">
        <f t="shared" si="53"/>
        <v>-0.15239604002392204</v>
      </c>
      <c r="Z237" s="31">
        <f t="shared" si="54"/>
        <v>-0.15239604002392204</v>
      </c>
      <c r="AA237" s="31" t="str">
        <f t="shared" si="55"/>
        <v/>
      </c>
    </row>
    <row r="238" spans="1:27" x14ac:dyDescent="0.25">
      <c r="A238" s="6" t="str">
        <f t="shared" si="49"/>
        <v>fragment</v>
      </c>
      <c r="B238" s="6" t="s">
        <v>182</v>
      </c>
      <c r="C238" s="6" t="str">
        <f t="shared" si="50"/>
        <v>HC105 87110</v>
      </c>
      <c r="D238" s="22" t="s">
        <v>181</v>
      </c>
      <c r="E238" s="20">
        <v>87110</v>
      </c>
      <c r="F238" s="1"/>
      <c r="G238" s="24" t="s">
        <v>1180</v>
      </c>
      <c r="H238" s="6" t="s">
        <v>978</v>
      </c>
      <c r="I238" s="6" t="s">
        <v>5</v>
      </c>
      <c r="J238" s="30"/>
      <c r="K238" s="8" t="str">
        <f t="shared" si="51"/>
        <v/>
      </c>
      <c r="L238" s="8" t="str">
        <f t="shared" si="52"/>
        <v/>
      </c>
      <c r="M238" s="23">
        <v>0.69899999999999995</v>
      </c>
      <c r="N238" s="23">
        <f>1.08+0.214</f>
        <v>1.294</v>
      </c>
      <c r="O238" s="23">
        <v>0.36699999999999999</v>
      </c>
      <c r="P238" s="23">
        <f>0.523+0.538</f>
        <v>1.0609999999999999</v>
      </c>
      <c r="Q238" s="23">
        <v>1.103</v>
      </c>
      <c r="R238" s="23">
        <f>0.603+0.957+0.204</f>
        <v>1.764</v>
      </c>
      <c r="S238" s="8"/>
      <c r="T238" s="8"/>
      <c r="U238" s="8">
        <v>1.8512160228898429</v>
      </c>
      <c r="V238" s="8">
        <v>2.8910081743869207</v>
      </c>
      <c r="W238" s="8">
        <v>1.5992747053490481</v>
      </c>
      <c r="X238" s="8"/>
      <c r="Y238" s="31">
        <f t="shared" si="53"/>
        <v>-0.32507066691614694</v>
      </c>
      <c r="Z238" s="31">
        <f t="shared" si="54"/>
        <v>-0.32507066691614694</v>
      </c>
      <c r="AA238" s="31" t="str">
        <f t="shared" si="55"/>
        <v/>
      </c>
    </row>
    <row r="239" spans="1:27" x14ac:dyDescent="0.25">
      <c r="A239" s="6" t="str">
        <f t="shared" si="49"/>
        <v>complete</v>
      </c>
      <c r="B239" s="6" t="s">
        <v>182</v>
      </c>
      <c r="C239" s="6" t="str">
        <f t="shared" si="50"/>
        <v>HC105 87110</v>
      </c>
      <c r="D239" s="6" t="s">
        <v>181</v>
      </c>
      <c r="E239" s="20">
        <v>87110</v>
      </c>
      <c r="G239" s="6" t="s">
        <v>250</v>
      </c>
      <c r="H239" s="6" t="s">
        <v>978</v>
      </c>
      <c r="I239" s="6" t="s">
        <v>5</v>
      </c>
      <c r="J239" s="29">
        <v>36.506329999999998</v>
      </c>
      <c r="K239" s="8">
        <f t="shared" si="51"/>
        <v>1.562368175298078</v>
      </c>
      <c r="L239" s="8">
        <f t="shared" si="52"/>
        <v>8.2026558561977545</v>
      </c>
      <c r="M239" s="8"/>
      <c r="N239" s="8"/>
      <c r="O239" s="8">
        <v>3.6080000000000001</v>
      </c>
      <c r="P239" s="8">
        <f>0.655+1.253+0.598+1.459+1.302+0.578</f>
        <v>5.8449999999999998</v>
      </c>
      <c r="Q239" s="8"/>
      <c r="R239" s="8"/>
      <c r="S239" s="8">
        <v>1.37</v>
      </c>
      <c r="T239" s="8">
        <f>0.513+0.889+0.521</f>
        <v>1.923</v>
      </c>
      <c r="U239" s="8"/>
      <c r="V239" s="8">
        <f>P239/O239</f>
        <v>1.620011086474501</v>
      </c>
      <c r="W239" s="8"/>
      <c r="X239" s="8">
        <f>T239/S239</f>
        <v>1.4036496350364962</v>
      </c>
      <c r="Y239" s="31">
        <f t="shared" si="53"/>
        <v>-0.17950306264599922</v>
      </c>
      <c r="Z239" s="31" t="str">
        <f t="shared" si="54"/>
        <v/>
      </c>
      <c r="AA239" s="31">
        <f t="shared" si="55"/>
        <v>-0.17950306264599922</v>
      </c>
    </row>
    <row r="240" spans="1:27" x14ac:dyDescent="0.25">
      <c r="A240" s="6" t="str">
        <f t="shared" si="49"/>
        <v>complete</v>
      </c>
      <c r="B240" s="6" t="s">
        <v>182</v>
      </c>
      <c r="C240" s="6" t="str">
        <f t="shared" si="50"/>
        <v>HC105 87147a</v>
      </c>
      <c r="D240" s="6" t="s">
        <v>181</v>
      </c>
      <c r="E240" s="20" t="s">
        <v>983</v>
      </c>
      <c r="G240" s="6" t="s">
        <v>251</v>
      </c>
      <c r="H240" s="6" t="s">
        <v>979</v>
      </c>
      <c r="I240" s="6" t="s">
        <v>5</v>
      </c>
      <c r="J240" s="29">
        <v>4.7839999999999998</v>
      </c>
      <c r="K240" s="8">
        <f t="shared" si="51"/>
        <v>0.67979117098035446</v>
      </c>
      <c r="L240" s="8">
        <f t="shared" si="52"/>
        <v>6.1704472026364217</v>
      </c>
      <c r="M240" s="8">
        <v>0.31</v>
      </c>
      <c r="N240" s="8">
        <f>0.742+0.388</f>
        <v>1.1299999999999999</v>
      </c>
      <c r="O240" s="8">
        <v>0.217</v>
      </c>
      <c r="P240" s="8">
        <f>0.455+0.311</f>
        <v>0.76600000000000001</v>
      </c>
      <c r="Q240" s="8">
        <v>0.14000000000000001</v>
      </c>
      <c r="R240" s="8">
        <f>0.309+0.251</f>
        <v>0.56000000000000005</v>
      </c>
      <c r="S240" s="8"/>
      <c r="T240" s="8"/>
      <c r="U240" s="8">
        <f>N240/M240</f>
        <v>3.6451612903225805</v>
      </c>
      <c r="V240" s="8">
        <f>P240/O240</f>
        <v>3.5299539170506913</v>
      </c>
      <c r="W240" s="8">
        <f>R240/Q240</f>
        <v>4</v>
      </c>
      <c r="X240" s="8"/>
      <c r="Y240" s="31">
        <f t="shared" si="53"/>
        <v>-0.57113075437009053</v>
      </c>
      <c r="Z240" s="31" t="str">
        <f t="shared" si="54"/>
        <v/>
      </c>
      <c r="AA240" s="31">
        <f t="shared" si="55"/>
        <v>-0.57113075437009053</v>
      </c>
    </row>
    <row r="241" spans="1:27" x14ac:dyDescent="0.25">
      <c r="A241" s="6" t="str">
        <f t="shared" si="49"/>
        <v>fragment</v>
      </c>
      <c r="B241" s="6" t="s">
        <v>182</v>
      </c>
      <c r="C241" s="6" t="str">
        <f t="shared" si="50"/>
        <v>HC105 87152</v>
      </c>
      <c r="D241" s="22" t="s">
        <v>181</v>
      </c>
      <c r="E241" s="20">
        <v>87152</v>
      </c>
      <c r="F241" s="22"/>
      <c r="G241" s="24" t="s">
        <v>1181</v>
      </c>
      <c r="H241" s="24" t="s">
        <v>979</v>
      </c>
      <c r="I241" s="6" t="s">
        <v>5</v>
      </c>
      <c r="J241" s="30"/>
      <c r="K241" s="8" t="str">
        <f t="shared" si="51"/>
        <v/>
      </c>
      <c r="L241" s="8" t="str">
        <f t="shared" si="52"/>
        <v/>
      </c>
      <c r="M241" s="23"/>
      <c r="N241" s="23"/>
      <c r="O241" s="23"/>
      <c r="P241" s="23"/>
      <c r="Q241" s="23">
        <v>1.546</v>
      </c>
      <c r="R241" s="23">
        <f>1.198+1.053</f>
        <v>2.2509999999999999</v>
      </c>
      <c r="S241" s="8"/>
      <c r="T241" s="8"/>
      <c r="U241" s="8"/>
      <c r="V241" s="8"/>
      <c r="W241" s="8">
        <v>1.4560155239327295</v>
      </c>
      <c r="X241" s="8"/>
      <c r="Y241" s="31">
        <f t="shared" si="53"/>
        <v>-0.16316600541821383</v>
      </c>
      <c r="Z241" s="31">
        <f t="shared" si="54"/>
        <v>-0.16316600541821383</v>
      </c>
      <c r="AA241" s="31" t="str">
        <f t="shared" si="55"/>
        <v/>
      </c>
    </row>
    <row r="242" spans="1:27" x14ac:dyDescent="0.25">
      <c r="A242" s="6" t="str">
        <f t="shared" si="49"/>
        <v>complete</v>
      </c>
      <c r="B242" s="6" t="s">
        <v>182</v>
      </c>
      <c r="C242" s="6" t="str">
        <f t="shared" si="50"/>
        <v>HC105 88130</v>
      </c>
      <c r="D242" s="22" t="s">
        <v>181</v>
      </c>
      <c r="E242" s="20">
        <v>88130</v>
      </c>
      <c r="F242" s="1"/>
      <c r="G242" s="24" t="s">
        <v>1186</v>
      </c>
      <c r="H242" s="24"/>
      <c r="I242" s="6" t="s">
        <v>5</v>
      </c>
      <c r="J242" s="30">
        <f>14.801*2</f>
        <v>29.602</v>
      </c>
      <c r="K242" s="8">
        <f t="shared" si="51"/>
        <v>1.4713210542893747</v>
      </c>
      <c r="L242" s="8">
        <f t="shared" si="52"/>
        <v>7.993012112603088</v>
      </c>
      <c r="M242" s="23">
        <v>1.8959999999999999</v>
      </c>
      <c r="N242" s="23">
        <f>0.596+0.974+0.381</f>
        <v>1.9509999999999998</v>
      </c>
      <c r="O242" s="23">
        <v>1.702</v>
      </c>
      <c r="P242" s="23">
        <f>0.908+1.304</f>
        <v>2.2120000000000002</v>
      </c>
      <c r="Q242" s="23">
        <v>1.716</v>
      </c>
      <c r="R242" s="23">
        <f>0.903+0.829+0.821+0.388</f>
        <v>2.9409999999999998</v>
      </c>
      <c r="S242" s="8"/>
      <c r="T242" s="8"/>
      <c r="U242" s="8">
        <v>1.0290084388185654</v>
      </c>
      <c r="V242" s="8">
        <v>1.2996474735605172</v>
      </c>
      <c r="W242" s="8">
        <v>1.7138694638694638</v>
      </c>
      <c r="X242" s="8"/>
      <c r="Y242" s="31">
        <f t="shared" si="53"/>
        <v>-0.12953150007525735</v>
      </c>
      <c r="Z242" s="31" t="str">
        <f t="shared" si="54"/>
        <v/>
      </c>
      <c r="AA242" s="31">
        <f t="shared" si="55"/>
        <v>-0.12953150007525735</v>
      </c>
    </row>
    <row r="243" spans="1:27" x14ac:dyDescent="0.25">
      <c r="A243" s="6" t="str">
        <f t="shared" si="49"/>
        <v>complete</v>
      </c>
      <c r="B243" s="6" t="s">
        <v>182</v>
      </c>
      <c r="C243" s="6" t="str">
        <f t="shared" si="50"/>
        <v>HC105 88130</v>
      </c>
      <c r="D243" s="22" t="s">
        <v>181</v>
      </c>
      <c r="E243" s="20">
        <v>88130</v>
      </c>
      <c r="F243" s="22"/>
      <c r="G243" s="24" t="s">
        <v>249</v>
      </c>
      <c r="H243" s="24"/>
      <c r="I243" s="6" t="s">
        <v>5</v>
      </c>
      <c r="J243" s="30">
        <f>12.648*2</f>
        <v>25.295999999999999</v>
      </c>
      <c r="K243" s="8">
        <f t="shared" si="51"/>
        <v>1.4030518525881339</v>
      </c>
      <c r="L243" s="8">
        <f t="shared" si="52"/>
        <v>7.8358164664552072</v>
      </c>
      <c r="M243" s="23">
        <v>1.5229999999999999</v>
      </c>
      <c r="N243" s="23">
        <f>1.378+0.429</f>
        <v>1.8069999999999999</v>
      </c>
      <c r="O243" s="23">
        <v>1.073</v>
      </c>
      <c r="P243" s="23">
        <f>0.889+0.678</f>
        <v>1.5670000000000002</v>
      </c>
      <c r="Q243" s="23">
        <v>1.0489999999999999</v>
      </c>
      <c r="R243" s="23">
        <f>1.073+0.597</f>
        <v>1.67</v>
      </c>
      <c r="S243" s="8"/>
      <c r="T243" s="8"/>
      <c r="U243" s="8">
        <v>1.1864740643466842</v>
      </c>
      <c r="V243" s="8">
        <v>1.4603914259086674</v>
      </c>
      <c r="W243" s="8">
        <v>1.5919923736892279</v>
      </c>
      <c r="X243" s="8"/>
      <c r="Y243" s="31">
        <f t="shared" si="53"/>
        <v>-0.15012759946604518</v>
      </c>
      <c r="Z243" s="31" t="str">
        <f t="shared" si="54"/>
        <v/>
      </c>
      <c r="AA243" s="31">
        <f t="shared" si="55"/>
        <v>-0.15012759946604518</v>
      </c>
    </row>
    <row r="244" spans="1:27" x14ac:dyDescent="0.25">
      <c r="A244" s="6" t="str">
        <f t="shared" si="49"/>
        <v>complete</v>
      </c>
      <c r="B244" s="6" t="s">
        <v>182</v>
      </c>
      <c r="C244" s="6" t="str">
        <f t="shared" si="50"/>
        <v>HC105 88130</v>
      </c>
      <c r="D244" s="22" t="s">
        <v>181</v>
      </c>
      <c r="E244" s="20">
        <v>88130</v>
      </c>
      <c r="F244" s="1"/>
      <c r="G244" s="24" t="s">
        <v>1187</v>
      </c>
      <c r="H244" s="24"/>
      <c r="I244" s="6" t="s">
        <v>5</v>
      </c>
      <c r="J244" s="30">
        <f>6.822*2</f>
        <v>13.644</v>
      </c>
      <c r="K244" s="8">
        <f t="shared" si="51"/>
        <v>1.1349417107353597</v>
      </c>
      <c r="L244" s="8">
        <f t="shared" si="52"/>
        <v>7.2184700505444903</v>
      </c>
      <c r="M244" s="23">
        <v>0.51900000000000002</v>
      </c>
      <c r="N244" s="23">
        <f>0.786+0.432</f>
        <v>1.218</v>
      </c>
      <c r="O244" s="23">
        <v>0.56000000000000005</v>
      </c>
      <c r="P244" s="23">
        <f>0.45+0.701</f>
        <v>1.151</v>
      </c>
      <c r="Q244" s="23">
        <v>0.88100000000000001</v>
      </c>
      <c r="R244" s="23">
        <f>0.22+0.762+0.659</f>
        <v>1.641</v>
      </c>
      <c r="S244" s="8"/>
      <c r="T244" s="8"/>
      <c r="U244" s="8">
        <v>2.346820809248555</v>
      </c>
      <c r="V244" s="8">
        <v>2.0553571428571429</v>
      </c>
      <c r="W244" s="8">
        <v>1.8626560726447219</v>
      </c>
      <c r="X244" s="8"/>
      <c r="Y244" s="31">
        <f t="shared" si="53"/>
        <v>-0.31978831492976267</v>
      </c>
      <c r="Z244" s="31" t="str">
        <f t="shared" si="54"/>
        <v/>
      </c>
      <c r="AA244" s="31">
        <f t="shared" si="55"/>
        <v>-0.31978831492976267</v>
      </c>
    </row>
    <row r="245" spans="1:27" x14ac:dyDescent="0.25">
      <c r="A245" s="6" t="str">
        <f t="shared" si="49"/>
        <v>fragment</v>
      </c>
      <c r="B245" s="6" t="s">
        <v>182</v>
      </c>
      <c r="C245" s="6" t="str">
        <f t="shared" si="50"/>
        <v>HC105 88130</v>
      </c>
      <c r="D245" s="22" t="s">
        <v>181</v>
      </c>
      <c r="E245" s="20">
        <v>88130</v>
      </c>
      <c r="F245" s="22"/>
      <c r="G245" s="24" t="s">
        <v>1188</v>
      </c>
      <c r="H245" s="24"/>
      <c r="I245" s="6" t="s">
        <v>5</v>
      </c>
      <c r="J245" s="30"/>
      <c r="K245" s="8" t="str">
        <f t="shared" si="51"/>
        <v/>
      </c>
      <c r="L245" s="8" t="str">
        <f t="shared" si="52"/>
        <v/>
      </c>
      <c r="M245" s="23">
        <v>1.2270000000000001</v>
      </c>
      <c r="N245" s="23">
        <f>0.865+0.937</f>
        <v>1.802</v>
      </c>
      <c r="O245" s="23">
        <v>1.266</v>
      </c>
      <c r="P245" s="23">
        <f>0.646+0.892+0.631</f>
        <v>2.169</v>
      </c>
      <c r="Q245" s="23">
        <v>1.0589999999999999</v>
      </c>
      <c r="R245" s="23">
        <f>0.29+0.876+0.493</f>
        <v>1.6589999999999998</v>
      </c>
      <c r="S245" s="8"/>
      <c r="T245" s="8"/>
      <c r="U245" s="8">
        <v>1.4686226568867156</v>
      </c>
      <c r="V245" s="8">
        <v>1.7132701421800949</v>
      </c>
      <c r="W245" s="8">
        <v>1.56657223796034</v>
      </c>
      <c r="X245" s="8"/>
      <c r="Y245" s="31">
        <f t="shared" si="53"/>
        <v>-0.19943198991944303</v>
      </c>
      <c r="Z245" s="31">
        <f t="shared" si="54"/>
        <v>-0.19943198991944303</v>
      </c>
      <c r="AA245" s="31" t="str">
        <f t="shared" si="55"/>
        <v/>
      </c>
    </row>
    <row r="246" spans="1:27" x14ac:dyDescent="0.25">
      <c r="A246" s="6" t="str">
        <f t="shared" si="49"/>
        <v>fragment</v>
      </c>
      <c r="B246" s="6" t="s">
        <v>182</v>
      </c>
      <c r="C246" s="6" t="str">
        <f t="shared" si="50"/>
        <v>HC105 88130</v>
      </c>
      <c r="D246" s="22" t="s">
        <v>181</v>
      </c>
      <c r="E246" s="20">
        <v>88130</v>
      </c>
      <c r="F246" s="1"/>
      <c r="G246" s="24" t="s">
        <v>1189</v>
      </c>
      <c r="H246" s="24"/>
      <c r="I246" s="6" t="s">
        <v>5</v>
      </c>
      <c r="J246" s="30"/>
      <c r="K246" s="8" t="str">
        <f t="shared" si="51"/>
        <v/>
      </c>
      <c r="L246" s="8" t="str">
        <f t="shared" si="52"/>
        <v/>
      </c>
      <c r="M246" s="23"/>
      <c r="N246" s="23"/>
      <c r="O246" s="23">
        <v>2.577</v>
      </c>
      <c r="P246" s="23">
        <f>1.186+0.251+0.766</f>
        <v>2.2029999999999998</v>
      </c>
      <c r="Q246" s="23">
        <v>2.3879999999999999</v>
      </c>
      <c r="R246" s="23">
        <f>1.702+1.218+0.558+0.092</f>
        <v>3.57</v>
      </c>
      <c r="S246" s="8"/>
      <c r="T246" s="8"/>
      <c r="U246" s="8"/>
      <c r="V246" s="8">
        <v>0.85487000388048118</v>
      </c>
      <c r="W246" s="8">
        <v>1.4949748743718594</v>
      </c>
      <c r="X246" s="8"/>
      <c r="Y246" s="31">
        <f t="shared" si="53"/>
        <v>-7.0009198206647708E-2</v>
      </c>
      <c r="Z246" s="31">
        <f t="shared" si="54"/>
        <v>-7.0009198206647708E-2</v>
      </c>
      <c r="AA246" s="31" t="str">
        <f t="shared" si="55"/>
        <v/>
      </c>
    </row>
    <row r="247" spans="1:27" x14ac:dyDescent="0.25">
      <c r="A247" s="6" t="str">
        <f t="shared" si="49"/>
        <v>fragment</v>
      </c>
      <c r="B247" s="6" t="s">
        <v>182</v>
      </c>
      <c r="C247" s="6" t="str">
        <f t="shared" si="50"/>
        <v>HC105 88130</v>
      </c>
      <c r="D247" s="22" t="s">
        <v>181</v>
      </c>
      <c r="E247" s="20">
        <v>88130</v>
      </c>
      <c r="F247" s="22"/>
      <c r="G247" s="24" t="s">
        <v>1190</v>
      </c>
      <c r="H247" s="24"/>
      <c r="I247" s="6" t="s">
        <v>5</v>
      </c>
      <c r="J247" s="30"/>
      <c r="K247" s="8" t="str">
        <f t="shared" si="51"/>
        <v/>
      </c>
      <c r="L247" s="8" t="str">
        <f t="shared" si="52"/>
        <v/>
      </c>
      <c r="M247" s="23">
        <v>1.4710000000000001</v>
      </c>
      <c r="N247" s="23">
        <f>0.392+1.002</f>
        <v>1.3940000000000001</v>
      </c>
      <c r="O247" s="23">
        <v>2.9990000000000001</v>
      </c>
      <c r="P247" s="23">
        <f>1.396+1.083</f>
        <v>2.4790000000000001</v>
      </c>
      <c r="Q247" s="23">
        <v>1.962</v>
      </c>
      <c r="R247" s="23">
        <f>1.068+1.189</f>
        <v>2.2570000000000001</v>
      </c>
      <c r="S247" s="8"/>
      <c r="T247" s="8"/>
      <c r="U247" s="8">
        <v>0.94765465669612514</v>
      </c>
      <c r="V247" s="8">
        <v>0.82660886962320779</v>
      </c>
      <c r="W247" s="8">
        <v>1.1503567787971458</v>
      </c>
      <c r="X247" s="8"/>
      <c r="Y247" s="31">
        <f t="shared" si="53"/>
        <v>1.1051763821620248E-2</v>
      </c>
      <c r="Z247" s="31">
        <f t="shared" si="54"/>
        <v>1.1051763821620248E-2</v>
      </c>
      <c r="AA247" s="31" t="str">
        <f t="shared" si="55"/>
        <v/>
      </c>
    </row>
    <row r="248" spans="1:27" x14ac:dyDescent="0.25">
      <c r="A248" s="6" t="str">
        <f t="shared" si="49"/>
        <v>fragment</v>
      </c>
      <c r="B248" s="6" t="s">
        <v>182</v>
      </c>
      <c r="C248" s="6" t="str">
        <f t="shared" si="50"/>
        <v>HC105 88130</v>
      </c>
      <c r="D248" s="22" t="s">
        <v>181</v>
      </c>
      <c r="E248" s="20">
        <v>88130</v>
      </c>
      <c r="F248" s="1"/>
      <c r="G248" s="24" t="s">
        <v>1191</v>
      </c>
      <c r="H248" s="24"/>
      <c r="I248" s="6" t="s">
        <v>5</v>
      </c>
      <c r="J248" s="30"/>
      <c r="K248" s="8" t="str">
        <f t="shared" si="51"/>
        <v/>
      </c>
      <c r="L248" s="8" t="str">
        <f t="shared" si="52"/>
        <v/>
      </c>
      <c r="M248" s="23"/>
      <c r="N248" s="23"/>
      <c r="O248" s="8"/>
      <c r="P248" s="8"/>
      <c r="Q248" s="23">
        <v>1.8</v>
      </c>
      <c r="R248" s="23">
        <f>0.54+1.051+0.69</f>
        <v>2.2809999999999997</v>
      </c>
      <c r="S248" s="8"/>
      <c r="T248" s="8"/>
      <c r="U248" s="8"/>
      <c r="V248" s="8"/>
      <c r="W248" s="8">
        <v>1.267222222222222</v>
      </c>
      <c r="X248" s="8"/>
      <c r="Y248" s="31">
        <f t="shared" si="53"/>
        <v>-0.10285278017334243</v>
      </c>
      <c r="Z248" s="31">
        <f t="shared" si="54"/>
        <v>-0.10285278017334243</v>
      </c>
      <c r="AA248" s="31" t="str">
        <f t="shared" si="55"/>
        <v/>
      </c>
    </row>
    <row r="249" spans="1:27" x14ac:dyDescent="0.25">
      <c r="A249" s="6" t="str">
        <f t="shared" si="49"/>
        <v>complete</v>
      </c>
      <c r="B249" s="6" t="s">
        <v>182</v>
      </c>
      <c r="C249" s="6" t="str">
        <f t="shared" si="50"/>
        <v>HC105 88130</v>
      </c>
      <c r="D249" s="6" t="s">
        <v>181</v>
      </c>
      <c r="E249" s="20">
        <v>88130</v>
      </c>
      <c r="G249" s="6" t="s">
        <v>249</v>
      </c>
      <c r="I249" s="6" t="s">
        <v>5</v>
      </c>
      <c r="J249" s="29">
        <v>25.829409999999999</v>
      </c>
      <c r="K249" s="8">
        <f t="shared" si="51"/>
        <v>1.4121144860544335</v>
      </c>
      <c r="L249" s="8">
        <f t="shared" si="52"/>
        <v>7.8566839511779776</v>
      </c>
      <c r="M249" s="8">
        <v>0.80400000000000005</v>
      </c>
      <c r="N249" s="8">
        <f>0.764+0.677</f>
        <v>1.4410000000000001</v>
      </c>
      <c r="O249" s="8"/>
      <c r="P249" s="8"/>
      <c r="Q249" s="8">
        <v>0.997</v>
      </c>
      <c r="R249" s="8">
        <f>0.873+0.885+0.276</f>
        <v>2.0339999999999998</v>
      </c>
      <c r="S249" s="8">
        <v>1.772</v>
      </c>
      <c r="T249" s="8">
        <f>1.111+0.794</f>
        <v>1.905</v>
      </c>
      <c r="U249" s="8">
        <f>N249/M249</f>
        <v>1.7922885572139302</v>
      </c>
      <c r="V249" s="8"/>
      <c r="W249" s="8">
        <f>R249/Q249</f>
        <v>2.0401203610832495</v>
      </c>
      <c r="X249" s="8">
        <f>T249/S249</f>
        <v>1.0750564334085779</v>
      </c>
      <c r="Y249" s="31">
        <f t="shared" si="53"/>
        <v>-0.2137359873035547</v>
      </c>
      <c r="Z249" s="31" t="str">
        <f t="shared" si="54"/>
        <v/>
      </c>
      <c r="AA249" s="31">
        <f t="shared" si="55"/>
        <v>-0.2137359873035547</v>
      </c>
    </row>
    <row r="250" spans="1:27" x14ac:dyDescent="0.25">
      <c r="A250" s="6" t="str">
        <f t="shared" si="49"/>
        <v>complete</v>
      </c>
      <c r="B250" s="6" t="s">
        <v>182</v>
      </c>
      <c r="C250" s="6" t="str">
        <f t="shared" si="50"/>
        <v>HC105 900</v>
      </c>
      <c r="D250" s="6" t="s">
        <v>181</v>
      </c>
      <c r="E250" s="20">
        <v>900</v>
      </c>
      <c r="F250" s="6" t="s">
        <v>180</v>
      </c>
      <c r="G250" s="6" t="s">
        <v>183</v>
      </c>
      <c r="H250" s="6" t="s">
        <v>977</v>
      </c>
      <c r="I250" s="6" t="s">
        <v>5</v>
      </c>
      <c r="J250" s="29">
        <v>23.344470000000001</v>
      </c>
      <c r="K250" s="8">
        <f t="shared" si="51"/>
        <v>1.3681840183958336</v>
      </c>
      <c r="L250" s="8">
        <f t="shared" si="52"/>
        <v>7.7555303112190295</v>
      </c>
      <c r="M250" s="8">
        <v>1.26</v>
      </c>
      <c r="N250" s="8">
        <f>0.907+1.008</f>
        <v>1.915</v>
      </c>
      <c r="O250" s="8"/>
      <c r="P250" s="8"/>
      <c r="Q250" s="8">
        <v>1.1559999999999999</v>
      </c>
      <c r="R250" s="8">
        <f>0.703+0.377+0.311+0.947+0.478</f>
        <v>2.8159999999999998</v>
      </c>
      <c r="S250" s="8">
        <v>1.0609999999999999</v>
      </c>
      <c r="T250" s="8">
        <f>0.694+0.515</f>
        <v>1.2090000000000001</v>
      </c>
      <c r="U250" s="8">
        <f>N250/M250</f>
        <v>1.5198412698412698</v>
      </c>
      <c r="V250" s="8"/>
      <c r="W250" s="8">
        <f>R250/Q250</f>
        <v>2.4359861591695502</v>
      </c>
      <c r="X250" s="8">
        <f>T250/S250</f>
        <v>1.1394910461828465</v>
      </c>
      <c r="Y250" s="31">
        <f t="shared" si="53"/>
        <v>-0.23005007939248845</v>
      </c>
      <c r="Z250" s="31" t="str">
        <f t="shared" si="54"/>
        <v/>
      </c>
      <c r="AA250" s="31">
        <f t="shared" si="55"/>
        <v>-0.23005007939248845</v>
      </c>
    </row>
    <row r="251" spans="1:27" x14ac:dyDescent="0.25">
      <c r="A251" s="6" t="str">
        <f t="shared" si="49"/>
        <v>fragment</v>
      </c>
      <c r="B251" s="6" t="s">
        <v>182</v>
      </c>
      <c r="C251" s="6" t="str">
        <f t="shared" si="50"/>
        <v>HC105 900</v>
      </c>
      <c r="D251" s="6" t="s">
        <v>181</v>
      </c>
      <c r="E251" s="20">
        <v>900</v>
      </c>
      <c r="F251" s="6" t="s">
        <v>180</v>
      </c>
      <c r="G251" s="6" t="s">
        <v>184</v>
      </c>
      <c r="H251" s="6" t="s">
        <v>977</v>
      </c>
      <c r="I251" s="6" t="s">
        <v>5</v>
      </c>
      <c r="J251" s="29"/>
      <c r="K251" s="8" t="str">
        <f t="shared" si="51"/>
        <v/>
      </c>
      <c r="L251" s="8" t="str">
        <f t="shared" si="52"/>
        <v/>
      </c>
      <c r="M251" s="8"/>
      <c r="N251" s="8"/>
      <c r="O251" s="8">
        <v>1.3360000000000001</v>
      </c>
      <c r="P251" s="8">
        <f>1.127+0.696</f>
        <v>1.823</v>
      </c>
      <c r="Q251" s="8">
        <v>0.57799999999999996</v>
      </c>
      <c r="R251" s="8">
        <f>0.494+0.489</f>
        <v>0.98299999999999998</v>
      </c>
      <c r="S251" s="8">
        <v>0.67200000000000004</v>
      </c>
      <c r="T251" s="8">
        <f>0.714+0.461</f>
        <v>1.175</v>
      </c>
      <c r="U251" s="8"/>
      <c r="V251" s="8">
        <f>P251/O251</f>
        <v>1.3645209580838322</v>
      </c>
      <c r="W251" s="8">
        <f>R251/Q251</f>
        <v>1.7006920415224915</v>
      </c>
      <c r="X251" s="8">
        <f>T251/S251</f>
        <v>1.7485119047619047</v>
      </c>
      <c r="Y251" s="31">
        <f t="shared" si="53"/>
        <v>-0.20536001278797625</v>
      </c>
      <c r="Z251" s="31">
        <f t="shared" si="54"/>
        <v>-0.20536001278797625</v>
      </c>
      <c r="AA251" s="31" t="str">
        <f t="shared" si="55"/>
        <v/>
      </c>
    </row>
    <row r="252" spans="1:27" x14ac:dyDescent="0.25">
      <c r="A252" s="6" t="str">
        <f t="shared" si="49"/>
        <v>complete</v>
      </c>
      <c r="B252" s="6" t="s">
        <v>182</v>
      </c>
      <c r="C252" s="6" t="str">
        <f t="shared" si="50"/>
        <v>HC105 900</v>
      </c>
      <c r="D252" s="6" t="s">
        <v>181</v>
      </c>
      <c r="E252" s="20">
        <v>900</v>
      </c>
      <c r="F252" s="6" t="s">
        <v>180</v>
      </c>
      <c r="G252" s="6" t="s">
        <v>185</v>
      </c>
      <c r="H252" s="6" t="s">
        <v>977</v>
      </c>
      <c r="I252" s="6" t="s">
        <v>5</v>
      </c>
      <c r="J252" s="29">
        <f>11.651*2</f>
        <v>23.302</v>
      </c>
      <c r="K252" s="8">
        <f t="shared" si="51"/>
        <v>1.3673931979224758</v>
      </c>
      <c r="L252" s="8">
        <f t="shared" si="52"/>
        <v>7.7537093797858407</v>
      </c>
      <c r="M252" s="8"/>
      <c r="N252" s="8"/>
      <c r="O252" s="8"/>
      <c r="P252" s="8"/>
      <c r="Q252" s="8">
        <v>0.56499999999999995</v>
      </c>
      <c r="R252" s="8">
        <f>0.464+0.452</f>
        <v>0.91600000000000004</v>
      </c>
      <c r="S252" s="8">
        <v>1.0900000000000001</v>
      </c>
      <c r="T252" s="8">
        <f>0.772+0.722</f>
        <v>1.494</v>
      </c>
      <c r="U252" s="8"/>
      <c r="V252" s="8"/>
      <c r="W252" s="8">
        <f>R252/Q252</f>
        <v>1.6212389380530976</v>
      </c>
      <c r="X252" s="8">
        <f>T252/S252</f>
        <v>1.3706422018348623</v>
      </c>
      <c r="Y252" s="31">
        <f t="shared" si="53"/>
        <v>-0.17491434041476017</v>
      </c>
      <c r="Z252" s="31" t="str">
        <f t="shared" si="54"/>
        <v/>
      </c>
      <c r="AA252" s="31">
        <f t="shared" si="55"/>
        <v>-0.17491434041476017</v>
      </c>
    </row>
    <row r="253" spans="1:27" x14ac:dyDescent="0.25">
      <c r="A253" s="6" t="str">
        <f t="shared" si="49"/>
        <v>complete</v>
      </c>
      <c r="B253" s="6" t="s">
        <v>182</v>
      </c>
      <c r="C253" s="6" t="str">
        <f t="shared" si="50"/>
        <v>HC105 900</v>
      </c>
      <c r="D253" s="6" t="s">
        <v>181</v>
      </c>
      <c r="E253" s="20">
        <v>900</v>
      </c>
      <c r="F253" s="6" t="s">
        <v>180</v>
      </c>
      <c r="G253" s="6" t="s">
        <v>186</v>
      </c>
      <c r="H253" s="6" t="s">
        <v>977</v>
      </c>
      <c r="I253" s="6" t="s">
        <v>5</v>
      </c>
      <c r="J253" s="29">
        <v>39.392000000000003</v>
      </c>
      <c r="K253" s="8">
        <f t="shared" si="51"/>
        <v>1.5954080312512222</v>
      </c>
      <c r="L253" s="8">
        <f t="shared" si="52"/>
        <v>8.2787329359901349</v>
      </c>
      <c r="M253" s="8">
        <v>1.4790000000000001</v>
      </c>
      <c r="N253" s="8">
        <f>0.804+0.499</f>
        <v>1.3029999999999999</v>
      </c>
      <c r="O253" s="8">
        <v>2.5670000000000002</v>
      </c>
      <c r="P253" s="8">
        <f>0.986+1.188+0.764</f>
        <v>2.9379999999999997</v>
      </c>
      <c r="Q253" s="8"/>
      <c r="R253" s="8"/>
      <c r="S253" s="8">
        <v>2.7309999999999999</v>
      </c>
      <c r="T253" s="8">
        <f>1.412+1.181</f>
        <v>2.593</v>
      </c>
      <c r="U253" s="8">
        <f>N253/M253</f>
        <v>0.88100067613252186</v>
      </c>
      <c r="V253" s="8">
        <f>P253/O253</f>
        <v>1.1445266848461237</v>
      </c>
      <c r="W253" s="8"/>
      <c r="X253" s="8">
        <f>T253/S253</f>
        <v>0.94946905895276457</v>
      </c>
      <c r="Y253" s="31">
        <f t="shared" si="53"/>
        <v>3.6348072786130461E-3</v>
      </c>
      <c r="Z253" s="31" t="str">
        <f t="shared" si="54"/>
        <v/>
      </c>
      <c r="AA253" s="31">
        <f t="shared" si="55"/>
        <v>3.6348072786130461E-3</v>
      </c>
    </row>
    <row r="254" spans="1:27" x14ac:dyDescent="0.25">
      <c r="A254" s="6" t="str">
        <f t="shared" si="49"/>
        <v>complete</v>
      </c>
      <c r="B254" s="6" t="s">
        <v>182</v>
      </c>
      <c r="C254" s="6" t="str">
        <f t="shared" si="50"/>
        <v>HC105 900</v>
      </c>
      <c r="D254" s="6" t="s">
        <v>181</v>
      </c>
      <c r="E254" s="20">
        <v>900</v>
      </c>
      <c r="F254" s="6" t="s">
        <v>180</v>
      </c>
      <c r="G254" s="6" t="s">
        <v>187</v>
      </c>
      <c r="H254" s="6" t="s">
        <v>977</v>
      </c>
      <c r="I254" s="6" t="s">
        <v>5</v>
      </c>
      <c r="J254" s="29">
        <f>4.041*2</f>
        <v>8.0820000000000007</v>
      </c>
      <c r="K254" s="8">
        <f t="shared" si="51"/>
        <v>0.90751884610662925</v>
      </c>
      <c r="L254" s="8">
        <f t="shared" si="52"/>
        <v>6.6948095526443732</v>
      </c>
      <c r="M254" s="8">
        <v>0.51100000000000001</v>
      </c>
      <c r="N254" s="8">
        <f>0.517+0.295</f>
        <v>0.81200000000000006</v>
      </c>
      <c r="O254" s="8"/>
      <c r="P254" s="8"/>
      <c r="Q254" s="8"/>
      <c r="R254" s="8"/>
      <c r="S254" s="8"/>
      <c r="T254" s="8"/>
      <c r="U254" s="8">
        <f>N254/M254</f>
        <v>1.5890410958904111</v>
      </c>
      <c r="V254" s="8"/>
      <c r="W254" s="8"/>
      <c r="X254" s="8"/>
      <c r="Y254" s="31">
        <f t="shared" si="53"/>
        <v>-0.20113512910646258</v>
      </c>
      <c r="Z254" s="31" t="str">
        <f t="shared" si="54"/>
        <v/>
      </c>
      <c r="AA254" s="31">
        <f t="shared" si="55"/>
        <v>-0.20113512910646258</v>
      </c>
    </row>
    <row r="255" spans="1:27" x14ac:dyDescent="0.25">
      <c r="A255" s="6" t="str">
        <f t="shared" si="49"/>
        <v>fragment</v>
      </c>
      <c r="B255" s="6" t="s">
        <v>182</v>
      </c>
      <c r="C255" s="6" t="str">
        <f t="shared" si="50"/>
        <v>HC105 900</v>
      </c>
      <c r="D255" s="6" t="s">
        <v>181</v>
      </c>
      <c r="E255" s="20">
        <v>900</v>
      </c>
      <c r="F255" s="6" t="s">
        <v>180</v>
      </c>
      <c r="G255" s="6" t="s">
        <v>188</v>
      </c>
      <c r="H255" s="6" t="s">
        <v>977</v>
      </c>
      <c r="I255" s="6" t="s">
        <v>5</v>
      </c>
      <c r="J255" s="29"/>
      <c r="K255" s="8" t="str">
        <f t="shared" si="51"/>
        <v/>
      </c>
      <c r="L255" s="8" t="str">
        <f t="shared" si="52"/>
        <v/>
      </c>
      <c r="M255" s="8"/>
      <c r="N255" s="8"/>
      <c r="O255" s="8">
        <v>2.129</v>
      </c>
      <c r="P255" s="8">
        <f>0.883+0.289+1.449+0.129+0.477</f>
        <v>3.2269999999999999</v>
      </c>
      <c r="Q255" s="8">
        <v>0.625</v>
      </c>
      <c r="R255" s="8">
        <f>0.523+0.39</f>
        <v>0.91300000000000003</v>
      </c>
      <c r="S255" s="8"/>
      <c r="T255" s="8"/>
      <c r="U255" s="8"/>
      <c r="V255" s="8">
        <f t="shared" ref="V255:V282" si="61">P255/O255</f>
        <v>1.5157350868952559</v>
      </c>
      <c r="W255" s="8">
        <f>R255/Q255</f>
        <v>1.4608000000000001</v>
      </c>
      <c r="X255" s="8"/>
      <c r="Y255" s="31">
        <f t="shared" si="53"/>
        <v>-0.17268101064431329</v>
      </c>
      <c r="Z255" s="31">
        <f t="shared" si="54"/>
        <v>-0.17268101064431329</v>
      </c>
      <c r="AA255" s="31" t="str">
        <f t="shared" si="55"/>
        <v/>
      </c>
    </row>
    <row r="256" spans="1:27" x14ac:dyDescent="0.25">
      <c r="A256" s="6" t="str">
        <f t="shared" si="49"/>
        <v>fragment</v>
      </c>
      <c r="B256" s="6" t="s">
        <v>182</v>
      </c>
      <c r="C256" s="6" t="str">
        <f t="shared" si="50"/>
        <v>HC105 900</v>
      </c>
      <c r="D256" s="6" t="s">
        <v>181</v>
      </c>
      <c r="E256" s="20">
        <v>900</v>
      </c>
      <c r="F256" s="6" t="s">
        <v>180</v>
      </c>
      <c r="G256" s="6" t="s">
        <v>189</v>
      </c>
      <c r="H256" s="6" t="s">
        <v>977</v>
      </c>
      <c r="I256" s="6" t="s">
        <v>5</v>
      </c>
      <c r="J256" s="29"/>
      <c r="K256" s="8" t="str">
        <f t="shared" si="51"/>
        <v/>
      </c>
      <c r="L256" s="8" t="str">
        <f t="shared" si="52"/>
        <v/>
      </c>
      <c r="M256" s="8"/>
      <c r="N256" s="8"/>
      <c r="O256" s="8">
        <v>1.411</v>
      </c>
      <c r="P256" s="8">
        <f>0.834+0.787+0.697</f>
        <v>2.3180000000000001</v>
      </c>
      <c r="Q256" s="8"/>
      <c r="R256" s="8"/>
      <c r="S256" s="8">
        <v>0.82799999999999996</v>
      </c>
      <c r="T256" s="8">
        <f>0.731+0.579</f>
        <v>1.31</v>
      </c>
      <c r="U256" s="8"/>
      <c r="V256" s="8">
        <f t="shared" si="61"/>
        <v>1.6428065201984408</v>
      </c>
      <c r="W256" s="8"/>
      <c r="X256" s="8">
        <f>T256/S256</f>
        <v>1.5821256038647344</v>
      </c>
      <c r="Y256" s="31">
        <f t="shared" si="53"/>
        <v>-0.20749058270109402</v>
      </c>
      <c r="Z256" s="31">
        <f t="shared" si="54"/>
        <v>-0.20749058270109402</v>
      </c>
      <c r="AA256" s="31" t="str">
        <f t="shared" si="55"/>
        <v/>
      </c>
    </row>
    <row r="257" spans="1:27" x14ac:dyDescent="0.25">
      <c r="A257" s="6" t="str">
        <f t="shared" si="49"/>
        <v>complete</v>
      </c>
      <c r="B257" s="6" t="s">
        <v>182</v>
      </c>
      <c r="C257" s="6" t="str">
        <f t="shared" si="50"/>
        <v>HC105 900</v>
      </c>
      <c r="D257" s="6" t="s">
        <v>181</v>
      </c>
      <c r="E257" s="20">
        <v>900</v>
      </c>
      <c r="F257" s="6" t="s">
        <v>180</v>
      </c>
      <c r="G257" s="6" t="s">
        <v>248</v>
      </c>
      <c r="H257" s="6" t="s">
        <v>977</v>
      </c>
      <c r="I257" s="6" t="s">
        <v>5</v>
      </c>
      <c r="J257" s="29">
        <v>25.917670000000001</v>
      </c>
      <c r="K257" s="8">
        <f t="shared" si="51"/>
        <v>1.4135959558549338</v>
      </c>
      <c r="L257" s="8">
        <f t="shared" si="52"/>
        <v>7.8600951614563312</v>
      </c>
      <c r="M257" s="8">
        <v>4.024</v>
      </c>
      <c r="N257" s="8">
        <f>1.023+1.3</f>
        <v>2.323</v>
      </c>
      <c r="O257" s="8">
        <v>3.379</v>
      </c>
      <c r="P257" s="8">
        <f>0.681+1.046+1.228</f>
        <v>2.9550000000000001</v>
      </c>
      <c r="Q257" s="8"/>
      <c r="R257" s="8"/>
      <c r="S257" s="8"/>
      <c r="T257" s="8"/>
      <c r="U257" s="8">
        <f>N257/M257</f>
        <v>0.57728628230616297</v>
      </c>
      <c r="V257" s="8">
        <f t="shared" si="61"/>
        <v>0.87451908848771831</v>
      </c>
      <c r="W257" s="8"/>
      <c r="X257" s="8"/>
      <c r="Y257" s="31">
        <f t="shared" si="53"/>
        <v>0.13912159696918353</v>
      </c>
      <c r="Z257" s="31" t="str">
        <f t="shared" si="54"/>
        <v/>
      </c>
      <c r="AA257" s="31">
        <f t="shared" si="55"/>
        <v>0.13912159696918353</v>
      </c>
    </row>
    <row r="258" spans="1:27" x14ac:dyDescent="0.25">
      <c r="A258" s="6" t="str">
        <f t="shared" ref="A258:A321" si="62">IF(J258&gt;0,"complete","fragment")</f>
        <v>complete</v>
      </c>
      <c r="B258" s="6" t="s">
        <v>182</v>
      </c>
      <c r="C258" s="6" t="str">
        <f t="shared" ref="C258:C321" si="63">D258&amp;" "&amp;E258</f>
        <v>HC105 906</v>
      </c>
      <c r="D258" s="6" t="s">
        <v>181</v>
      </c>
      <c r="E258" s="20">
        <v>906</v>
      </c>
      <c r="F258" s="6" t="s">
        <v>154</v>
      </c>
      <c r="G258" s="6" t="s">
        <v>219</v>
      </c>
      <c r="H258" s="6" t="s">
        <v>979</v>
      </c>
      <c r="I258" s="6" t="s">
        <v>5</v>
      </c>
      <c r="J258" s="29">
        <v>19.111000000000001</v>
      </c>
      <c r="K258" s="8">
        <f t="shared" ref="K258:K321" si="64">IF(J258&gt;0,LOG(J258),"")</f>
        <v>1.281283412492966</v>
      </c>
      <c r="L258" s="8">
        <f t="shared" ref="L258:L321" si="65">IF(J258&gt;0,LN(J258*100),"")</f>
        <v>7.5554342714949358</v>
      </c>
      <c r="M258" s="8"/>
      <c r="N258" s="8"/>
      <c r="O258" s="8">
        <v>1.335</v>
      </c>
      <c r="P258" s="8">
        <f>0.728+1.073+0.491</f>
        <v>2.2919999999999998</v>
      </c>
      <c r="Q258" s="8"/>
      <c r="R258" s="8"/>
      <c r="S258" s="8">
        <v>1.1679999999999999</v>
      </c>
      <c r="T258" s="8">
        <f>0.788+0.664+0.475</f>
        <v>1.927</v>
      </c>
      <c r="U258" s="8"/>
      <c r="V258" s="8">
        <f t="shared" si="61"/>
        <v>1.7168539325842695</v>
      </c>
      <c r="W258" s="8"/>
      <c r="X258" s="8">
        <f t="shared" ref="X258:X273" si="66">T258/S258</f>
        <v>1.6498287671232879</v>
      </c>
      <c r="Y258" s="31">
        <f t="shared" ref="Y258:Y321" si="67">IF(COUNT(U258:X258)&gt;0,LOG(1/AVERAGE(U258:X258)),"")</f>
        <v>-0.22617219163007032</v>
      </c>
      <c r="Z258" s="31" t="str">
        <f t="shared" ref="Z258:Z321" si="68">IF(A258="fragment",IF(ISNUMBER(Y258)=TRUE,Y258,""),"")</f>
        <v/>
      </c>
      <c r="AA258" s="31">
        <f t="shared" ref="AA258:AA321" si="69">IF(A258="complete",IF(ISNUMBER(Y258)=TRUE,Y258,""),"")</f>
        <v>-0.22617219163007032</v>
      </c>
    </row>
    <row r="259" spans="1:27" x14ac:dyDescent="0.25">
      <c r="A259" s="6" t="str">
        <f t="shared" si="62"/>
        <v>complete</v>
      </c>
      <c r="B259" s="6" t="s">
        <v>182</v>
      </c>
      <c r="C259" s="6" t="str">
        <f t="shared" si="63"/>
        <v>HC105 906</v>
      </c>
      <c r="D259" s="6" t="s">
        <v>181</v>
      </c>
      <c r="E259" s="20">
        <v>906</v>
      </c>
      <c r="F259" s="6" t="s">
        <v>154</v>
      </c>
      <c r="G259" s="6" t="s">
        <v>220</v>
      </c>
      <c r="H259" s="6" t="s">
        <v>979</v>
      </c>
      <c r="I259" s="6" t="s">
        <v>5</v>
      </c>
      <c r="J259" s="29">
        <v>28.07</v>
      </c>
      <c r="K259" s="8">
        <f t="shared" si="64"/>
        <v>1.4482424126344391</v>
      </c>
      <c r="L259" s="8">
        <f t="shared" si="65"/>
        <v>7.9398715763618828</v>
      </c>
      <c r="M259" s="8">
        <v>0.52800000000000002</v>
      </c>
      <c r="N259" s="8">
        <f>0.467+0.486</f>
        <v>0.95300000000000007</v>
      </c>
      <c r="O259" s="8">
        <v>2.129</v>
      </c>
      <c r="P259" s="8">
        <f>0.598+1.217+0.956</f>
        <v>2.7709999999999999</v>
      </c>
      <c r="Q259" s="8"/>
      <c r="R259" s="8"/>
      <c r="S259" s="8">
        <v>1.964</v>
      </c>
      <c r="T259" s="8">
        <f>1.233+1.323</f>
        <v>2.556</v>
      </c>
      <c r="U259" s="8">
        <f>N259/M259</f>
        <v>1.8049242424242424</v>
      </c>
      <c r="V259" s="8">
        <f t="shared" si="61"/>
        <v>1.3015500234852042</v>
      </c>
      <c r="W259" s="8"/>
      <c r="X259" s="8">
        <f t="shared" si="66"/>
        <v>1.3014256619144604</v>
      </c>
      <c r="Y259" s="31">
        <f t="shared" si="67"/>
        <v>-0.16711047148540722</v>
      </c>
      <c r="Z259" s="31" t="str">
        <f t="shared" si="68"/>
        <v/>
      </c>
      <c r="AA259" s="31">
        <f t="shared" si="69"/>
        <v>-0.16711047148540722</v>
      </c>
    </row>
    <row r="260" spans="1:27" x14ac:dyDescent="0.25">
      <c r="A260" s="6" t="str">
        <f t="shared" si="62"/>
        <v>complete</v>
      </c>
      <c r="B260" s="6" t="s">
        <v>182</v>
      </c>
      <c r="C260" s="6" t="str">
        <f t="shared" si="63"/>
        <v>HC105 906</v>
      </c>
      <c r="D260" s="6" t="s">
        <v>181</v>
      </c>
      <c r="E260" s="20">
        <v>906</v>
      </c>
      <c r="F260" s="6" t="s">
        <v>154</v>
      </c>
      <c r="G260" s="6" t="s">
        <v>221</v>
      </c>
      <c r="H260" s="6" t="s">
        <v>979</v>
      </c>
      <c r="I260" s="6" t="s">
        <v>5</v>
      </c>
      <c r="J260" s="29">
        <v>18.812000000000001</v>
      </c>
      <c r="K260" s="8">
        <f t="shared" si="64"/>
        <v>1.2744349700740418</v>
      </c>
      <c r="L260" s="8">
        <f t="shared" si="65"/>
        <v>7.5396651500708929</v>
      </c>
      <c r="M260" s="8"/>
      <c r="N260" s="8"/>
      <c r="O260" s="8">
        <v>1</v>
      </c>
      <c r="P260" s="8">
        <f>0.557+0.623+0.65+0.685</f>
        <v>2.5150000000000001</v>
      </c>
      <c r="Q260" s="8"/>
      <c r="R260" s="8"/>
      <c r="S260" s="8">
        <v>2.1509999999999998</v>
      </c>
      <c r="T260" s="8">
        <f>0.47+1.733+1.727</f>
        <v>3.9300000000000006</v>
      </c>
      <c r="U260" s="8"/>
      <c r="V260" s="8">
        <f t="shared" si="61"/>
        <v>2.5150000000000001</v>
      </c>
      <c r="W260" s="8"/>
      <c r="X260" s="8">
        <f t="shared" si="66"/>
        <v>1.8270571827057187</v>
      </c>
      <c r="Y260" s="31">
        <f t="shared" si="67"/>
        <v>-0.33666554293162565</v>
      </c>
      <c r="Z260" s="31" t="str">
        <f t="shared" si="68"/>
        <v/>
      </c>
      <c r="AA260" s="31">
        <f t="shared" si="69"/>
        <v>-0.33666554293162565</v>
      </c>
    </row>
    <row r="261" spans="1:27" x14ac:dyDescent="0.25">
      <c r="A261" s="6" t="str">
        <f t="shared" si="62"/>
        <v>complete</v>
      </c>
      <c r="B261" s="6" t="s">
        <v>253</v>
      </c>
      <c r="C261" s="6" t="str">
        <f t="shared" si="63"/>
        <v>HC106 1782</v>
      </c>
      <c r="D261" s="6" t="s">
        <v>252</v>
      </c>
      <c r="E261" s="20">
        <v>1782</v>
      </c>
      <c r="G261" s="6" t="s">
        <v>299</v>
      </c>
      <c r="H261" s="6" t="s">
        <v>979</v>
      </c>
      <c r="I261" s="8" t="s">
        <v>5</v>
      </c>
      <c r="J261" s="29">
        <v>16.113109999999999</v>
      </c>
      <c r="K261" s="8">
        <f t="shared" si="64"/>
        <v>1.2071793719204551</v>
      </c>
      <c r="L261" s="8">
        <f t="shared" si="65"/>
        <v>7.3848034123420456</v>
      </c>
      <c r="M261" s="8"/>
      <c r="N261" s="8"/>
      <c r="O261" s="8">
        <v>1.0469999999999999</v>
      </c>
      <c r="P261" s="8">
        <f>0.811+0.949+0.607</f>
        <v>2.367</v>
      </c>
      <c r="Q261" s="8"/>
      <c r="R261" s="8"/>
      <c r="S261" s="8">
        <v>1.7509999999999999</v>
      </c>
      <c r="T261" s="8">
        <f>1.601+1.655</f>
        <v>3.2560000000000002</v>
      </c>
      <c r="U261" s="8"/>
      <c r="V261" s="8">
        <f t="shared" si="61"/>
        <v>2.2607449856733526</v>
      </c>
      <c r="W261" s="8"/>
      <c r="X261" s="8">
        <f t="shared" si="66"/>
        <v>1.8595088520845233</v>
      </c>
      <c r="Y261" s="31">
        <f t="shared" si="67"/>
        <v>-0.31389397690839344</v>
      </c>
      <c r="Z261" s="31" t="str">
        <f t="shared" si="68"/>
        <v/>
      </c>
      <c r="AA261" s="31">
        <f t="shared" si="69"/>
        <v>-0.31389397690839344</v>
      </c>
    </row>
    <row r="262" spans="1:27" x14ac:dyDescent="0.25">
      <c r="A262" s="6" t="str">
        <f t="shared" si="62"/>
        <v>complete</v>
      </c>
      <c r="B262" s="6" t="s">
        <v>253</v>
      </c>
      <c r="C262" s="6" t="str">
        <f t="shared" si="63"/>
        <v>HC106 1854</v>
      </c>
      <c r="D262" s="6" t="s">
        <v>252</v>
      </c>
      <c r="E262" s="20">
        <v>1854</v>
      </c>
      <c r="G262" s="6" t="s">
        <v>298</v>
      </c>
      <c r="H262" s="6" t="s">
        <v>978</v>
      </c>
      <c r="I262" s="8" t="s">
        <v>5</v>
      </c>
      <c r="J262" s="29">
        <v>49.227200000000003</v>
      </c>
      <c r="K262" s="8">
        <f t="shared" si="64"/>
        <v>1.6922051341856772</v>
      </c>
      <c r="L262" s="8">
        <f t="shared" si="65"/>
        <v>8.5016165022520198</v>
      </c>
      <c r="M262" s="8"/>
      <c r="N262" s="8"/>
      <c r="O262" s="8">
        <v>1.6220000000000001</v>
      </c>
      <c r="P262" s="8">
        <f>0.872+1.155</f>
        <v>2.0270000000000001</v>
      </c>
      <c r="Q262" s="8"/>
      <c r="R262" s="8"/>
      <c r="S262" s="8">
        <v>4.194</v>
      </c>
      <c r="T262" s="8">
        <f>1.819+2.619</f>
        <v>4.4380000000000006</v>
      </c>
      <c r="U262" s="8"/>
      <c r="V262" s="8">
        <f t="shared" si="61"/>
        <v>1.249691738594328</v>
      </c>
      <c r="W262" s="8"/>
      <c r="X262" s="8">
        <f t="shared" si="66"/>
        <v>1.0581783500238438</v>
      </c>
      <c r="Y262" s="31">
        <f t="shared" si="67"/>
        <v>-6.2181362812699377E-2</v>
      </c>
      <c r="Z262" s="31" t="str">
        <f t="shared" si="68"/>
        <v/>
      </c>
      <c r="AA262" s="31">
        <f t="shared" si="69"/>
        <v>-6.2181362812699377E-2</v>
      </c>
    </row>
    <row r="263" spans="1:27" x14ac:dyDescent="0.25">
      <c r="A263" s="6" t="str">
        <f t="shared" si="62"/>
        <v>complete</v>
      </c>
      <c r="B263" s="6" t="s">
        <v>253</v>
      </c>
      <c r="C263" s="6" t="str">
        <f t="shared" si="63"/>
        <v>HC106 428</v>
      </c>
      <c r="D263" s="6" t="s">
        <v>252</v>
      </c>
      <c r="E263" s="20">
        <v>428</v>
      </c>
      <c r="F263" s="6" t="s">
        <v>154</v>
      </c>
      <c r="G263" s="6" t="s">
        <v>254</v>
      </c>
      <c r="H263" s="6" t="s">
        <v>979</v>
      </c>
      <c r="I263" s="6" t="s">
        <v>5</v>
      </c>
      <c r="J263" s="29">
        <v>71.326999999999998</v>
      </c>
      <c r="K263" s="8">
        <f t="shared" si="64"/>
        <v>1.8532539580618321</v>
      </c>
      <c r="L263" s="8">
        <f t="shared" si="65"/>
        <v>8.8724451233534793</v>
      </c>
      <c r="M263" s="8">
        <v>6.94</v>
      </c>
      <c r="N263" s="8">
        <f>2.408+3.016</f>
        <v>5.4239999999999995</v>
      </c>
      <c r="O263" s="8">
        <v>2.7960000000000003</v>
      </c>
      <c r="P263" s="8">
        <v>2.593</v>
      </c>
      <c r="Q263" s="8"/>
      <c r="R263" s="8"/>
      <c r="S263" s="8">
        <v>8.2989999999999995</v>
      </c>
      <c r="T263" s="8">
        <f>0.83+3.432+3.404+0.987</f>
        <v>8.6529999999999987</v>
      </c>
      <c r="U263" s="8">
        <f>N263/M263</f>
        <v>0.7815561959654177</v>
      </c>
      <c r="V263" s="8">
        <f t="shared" si="61"/>
        <v>0.9273962804005722</v>
      </c>
      <c r="W263" s="8"/>
      <c r="X263" s="8">
        <f t="shared" si="66"/>
        <v>1.042655741655621</v>
      </c>
      <c r="Y263" s="31">
        <f t="shared" si="67"/>
        <v>3.7534656865449587E-2</v>
      </c>
      <c r="Z263" s="31" t="str">
        <f t="shared" si="68"/>
        <v/>
      </c>
      <c r="AA263" s="31">
        <f t="shared" si="69"/>
        <v>3.7534656865449587E-2</v>
      </c>
    </row>
    <row r="264" spans="1:27" x14ac:dyDescent="0.25">
      <c r="A264" s="6" t="str">
        <f t="shared" si="62"/>
        <v>complete</v>
      </c>
      <c r="B264" s="6" t="s">
        <v>253</v>
      </c>
      <c r="C264" s="6" t="str">
        <f t="shared" si="63"/>
        <v>HC106 428</v>
      </c>
      <c r="D264" s="6" t="s">
        <v>252</v>
      </c>
      <c r="E264" s="20">
        <v>428</v>
      </c>
      <c r="F264" s="6" t="s">
        <v>154</v>
      </c>
      <c r="G264" s="6" t="s">
        <v>255</v>
      </c>
      <c r="H264" s="6" t="s">
        <v>979</v>
      </c>
      <c r="I264" s="6" t="s">
        <v>5</v>
      </c>
      <c r="J264" s="29">
        <v>58.128</v>
      </c>
      <c r="K264" s="8">
        <f t="shared" si="64"/>
        <v>1.7643853805186394</v>
      </c>
      <c r="L264" s="8">
        <f t="shared" si="65"/>
        <v>8.6678176614669376</v>
      </c>
      <c r="M264" s="8"/>
      <c r="N264" s="8"/>
      <c r="O264" s="8">
        <v>4.6580000000000004</v>
      </c>
      <c r="P264" s="8">
        <f>2.487+1.452</f>
        <v>3.9390000000000001</v>
      </c>
      <c r="Q264" s="8">
        <v>1.319</v>
      </c>
      <c r="R264" s="8">
        <f>0.676+0.705+0.331</f>
        <v>1.712</v>
      </c>
      <c r="S264" s="8">
        <v>5.8570000000000002</v>
      </c>
      <c r="T264" s="8">
        <f>3.054+2.278</f>
        <v>5.3319999999999999</v>
      </c>
      <c r="U264" s="8"/>
      <c r="V264" s="8">
        <f t="shared" si="61"/>
        <v>0.84564190639759551</v>
      </c>
      <c r="W264" s="8">
        <f>R264/Q264</f>
        <v>1.2979529946929493</v>
      </c>
      <c r="X264" s="8">
        <f t="shared" si="66"/>
        <v>0.91036366740652208</v>
      </c>
      <c r="Y264" s="31">
        <f t="shared" si="67"/>
        <v>-7.7418861883121566E-3</v>
      </c>
      <c r="Z264" s="31" t="str">
        <f t="shared" si="68"/>
        <v/>
      </c>
      <c r="AA264" s="31">
        <f t="shared" si="69"/>
        <v>-7.7418861883121566E-3</v>
      </c>
    </row>
    <row r="265" spans="1:27" x14ac:dyDescent="0.25">
      <c r="A265" s="6" t="str">
        <f t="shared" si="62"/>
        <v>complete</v>
      </c>
      <c r="B265" s="6" t="s">
        <v>253</v>
      </c>
      <c r="C265" s="6" t="str">
        <f t="shared" si="63"/>
        <v>HC106 428</v>
      </c>
      <c r="D265" s="6" t="s">
        <v>252</v>
      </c>
      <c r="E265" s="20">
        <v>428</v>
      </c>
      <c r="F265" s="6" t="s">
        <v>154</v>
      </c>
      <c r="G265" s="6" t="s">
        <v>256</v>
      </c>
      <c r="H265" s="6" t="s">
        <v>979</v>
      </c>
      <c r="I265" s="6" t="s">
        <v>5</v>
      </c>
      <c r="J265" s="29">
        <v>41.817</v>
      </c>
      <c r="K265" s="8">
        <f t="shared" si="64"/>
        <v>1.6213528728102093</v>
      </c>
      <c r="L265" s="8">
        <f t="shared" si="65"/>
        <v>8.3384731414039504</v>
      </c>
      <c r="M265" s="8"/>
      <c r="N265" s="8"/>
      <c r="O265" s="8">
        <v>4.2389999999999999</v>
      </c>
      <c r="P265" s="8">
        <f>1.817+2.505</f>
        <v>4.3220000000000001</v>
      </c>
      <c r="Q265" s="8">
        <v>0.89600000000000002</v>
      </c>
      <c r="R265" s="8">
        <f>0.479+0.616+0.237</f>
        <v>1.3319999999999999</v>
      </c>
      <c r="S265" s="8">
        <v>4.1349999999999998</v>
      </c>
      <c r="T265" s="8">
        <f>2.363+1.693</f>
        <v>4.056</v>
      </c>
      <c r="U265" s="8"/>
      <c r="V265" s="8">
        <f t="shared" si="61"/>
        <v>1.0195800896437839</v>
      </c>
      <c r="W265" s="8">
        <f>R265/Q265</f>
        <v>1.4866071428571426</v>
      </c>
      <c r="X265" s="8">
        <f t="shared" si="66"/>
        <v>0.98089480048367605</v>
      </c>
      <c r="Y265" s="31">
        <f t="shared" si="67"/>
        <v>-6.5340909476930845E-2</v>
      </c>
      <c r="Z265" s="31" t="str">
        <f t="shared" si="68"/>
        <v/>
      </c>
      <c r="AA265" s="31">
        <f t="shared" si="69"/>
        <v>-6.5340909476930845E-2</v>
      </c>
    </row>
    <row r="266" spans="1:27" x14ac:dyDescent="0.25">
      <c r="A266" s="6" t="str">
        <f t="shared" si="62"/>
        <v>complete</v>
      </c>
      <c r="B266" s="6" t="s">
        <v>253</v>
      </c>
      <c r="C266" s="6" t="str">
        <f t="shared" si="63"/>
        <v>HC106 428</v>
      </c>
      <c r="D266" s="6" t="s">
        <v>252</v>
      </c>
      <c r="E266" s="20">
        <v>428</v>
      </c>
      <c r="F266" s="6" t="s">
        <v>154</v>
      </c>
      <c r="G266" s="6" t="s">
        <v>257</v>
      </c>
      <c r="H266" s="6" t="s">
        <v>979</v>
      </c>
      <c r="I266" s="6" t="s">
        <v>5</v>
      </c>
      <c r="J266" s="29">
        <v>47.5</v>
      </c>
      <c r="K266" s="8">
        <f t="shared" si="64"/>
        <v>1.6766936096248666</v>
      </c>
      <c r="L266" s="8">
        <f t="shared" si="65"/>
        <v>8.4658998970286863</v>
      </c>
      <c r="M266" s="8"/>
      <c r="N266" s="8"/>
      <c r="O266" s="8">
        <v>3.7269999999999999</v>
      </c>
      <c r="P266" s="8">
        <f>2.294+1.837</f>
        <v>4.1310000000000002</v>
      </c>
      <c r="Q266" s="8"/>
      <c r="R266" s="8"/>
      <c r="S266" s="8">
        <v>4.4050000000000002</v>
      </c>
      <c r="T266" s="8">
        <f>3.118+1.508</f>
        <v>4.6259999999999994</v>
      </c>
      <c r="U266" s="8"/>
      <c r="V266" s="8">
        <f t="shared" si="61"/>
        <v>1.1083981754762544</v>
      </c>
      <c r="W266" s="8"/>
      <c r="X266" s="8">
        <f t="shared" si="66"/>
        <v>1.0501702610669692</v>
      </c>
      <c r="Y266" s="31">
        <f t="shared" si="67"/>
        <v>-3.3135826678280529E-2</v>
      </c>
      <c r="Z266" s="31" t="str">
        <f t="shared" si="68"/>
        <v/>
      </c>
      <c r="AA266" s="31">
        <f t="shared" si="69"/>
        <v>-3.3135826678280529E-2</v>
      </c>
    </row>
    <row r="267" spans="1:27" x14ac:dyDescent="0.25">
      <c r="A267" s="6" t="str">
        <f t="shared" si="62"/>
        <v>fragment</v>
      </c>
      <c r="B267" s="6" t="s">
        <v>253</v>
      </c>
      <c r="C267" s="6" t="str">
        <f t="shared" si="63"/>
        <v>HC106 428</v>
      </c>
      <c r="D267" s="6" t="s">
        <v>252</v>
      </c>
      <c r="E267" s="20">
        <v>428</v>
      </c>
      <c r="F267" s="6" t="s">
        <v>154</v>
      </c>
      <c r="G267" s="6" t="s">
        <v>259</v>
      </c>
      <c r="H267" s="6" t="s">
        <v>979</v>
      </c>
      <c r="I267" s="6" t="s">
        <v>5</v>
      </c>
      <c r="J267" s="29"/>
      <c r="K267" s="8" t="str">
        <f t="shared" si="64"/>
        <v/>
      </c>
      <c r="L267" s="8" t="str">
        <f t="shared" si="65"/>
        <v/>
      </c>
      <c r="M267" s="8"/>
      <c r="N267" s="8"/>
      <c r="O267" s="8">
        <v>3.1040000000000001</v>
      </c>
      <c r="P267" s="8">
        <v>2.149</v>
      </c>
      <c r="Q267" s="8"/>
      <c r="R267" s="8"/>
      <c r="S267" s="8">
        <v>2.911</v>
      </c>
      <c r="T267" s="8">
        <v>2.367</v>
      </c>
      <c r="U267" s="8"/>
      <c r="V267" s="8">
        <f t="shared" si="61"/>
        <v>0.69233247422680411</v>
      </c>
      <c r="W267" s="8"/>
      <c r="X267" s="8">
        <f t="shared" si="66"/>
        <v>0.81312263826863618</v>
      </c>
      <c r="Y267" s="31">
        <f t="shared" si="67"/>
        <v>0.12336218479305879</v>
      </c>
      <c r="Z267" s="31">
        <f t="shared" si="68"/>
        <v>0.12336218479305879</v>
      </c>
      <c r="AA267" s="31" t="str">
        <f t="shared" si="69"/>
        <v/>
      </c>
    </row>
    <row r="268" spans="1:27" x14ac:dyDescent="0.25">
      <c r="A268" s="6" t="str">
        <f t="shared" si="62"/>
        <v>fragment</v>
      </c>
      <c r="B268" s="6" t="s">
        <v>253</v>
      </c>
      <c r="C268" s="6" t="str">
        <f t="shared" si="63"/>
        <v>HC106 428</v>
      </c>
      <c r="D268" s="6" t="s">
        <v>252</v>
      </c>
      <c r="E268" s="20">
        <v>428</v>
      </c>
      <c r="F268" s="6" t="s">
        <v>154</v>
      </c>
      <c r="G268" s="6" t="s">
        <v>260</v>
      </c>
      <c r="H268" s="6" t="s">
        <v>979</v>
      </c>
      <c r="I268" s="6" t="s">
        <v>5</v>
      </c>
      <c r="J268" s="29"/>
      <c r="K268" s="8" t="str">
        <f t="shared" si="64"/>
        <v/>
      </c>
      <c r="L268" s="8" t="str">
        <f t="shared" si="65"/>
        <v/>
      </c>
      <c r="M268" s="8"/>
      <c r="N268" s="8"/>
      <c r="O268" s="8">
        <v>2.2850000000000001</v>
      </c>
      <c r="P268" s="8">
        <f>1.848+0.54</f>
        <v>2.3879999999999999</v>
      </c>
      <c r="Q268" s="8">
        <v>0.93100000000000005</v>
      </c>
      <c r="R268" s="8">
        <f>0.683+0.657</f>
        <v>1.34</v>
      </c>
      <c r="S268" s="8">
        <v>2.669</v>
      </c>
      <c r="T268" s="8">
        <v>2.0950000000000002</v>
      </c>
      <c r="U268" s="8"/>
      <c r="V268" s="8">
        <f t="shared" si="61"/>
        <v>1.0450765864332603</v>
      </c>
      <c r="W268" s="8">
        <f>R268/Q268</f>
        <v>1.4393125671321161</v>
      </c>
      <c r="X268" s="8">
        <f t="shared" si="66"/>
        <v>0.78493817909329344</v>
      </c>
      <c r="Y268" s="31">
        <f t="shared" si="67"/>
        <v>-3.7337150611558907E-2</v>
      </c>
      <c r="Z268" s="31">
        <f t="shared" si="68"/>
        <v>-3.7337150611558907E-2</v>
      </c>
      <c r="AA268" s="31" t="str">
        <f t="shared" si="69"/>
        <v/>
      </c>
    </row>
    <row r="269" spans="1:27" x14ac:dyDescent="0.25">
      <c r="A269" s="6" t="str">
        <f t="shared" si="62"/>
        <v>fragment</v>
      </c>
      <c r="B269" s="6" t="s">
        <v>253</v>
      </c>
      <c r="C269" s="6" t="str">
        <f t="shared" si="63"/>
        <v>HC106 428</v>
      </c>
      <c r="D269" s="6" t="s">
        <v>252</v>
      </c>
      <c r="E269" s="20">
        <v>428</v>
      </c>
      <c r="F269" s="6" t="s">
        <v>154</v>
      </c>
      <c r="G269" s="6" t="s">
        <v>261</v>
      </c>
      <c r="H269" s="6" t="s">
        <v>979</v>
      </c>
      <c r="I269" s="6" t="s">
        <v>5</v>
      </c>
      <c r="J269" s="29"/>
      <c r="K269" s="8" t="str">
        <f t="shared" si="64"/>
        <v/>
      </c>
      <c r="L269" s="8" t="str">
        <f t="shared" si="65"/>
        <v/>
      </c>
      <c r="M269" s="8"/>
      <c r="N269" s="8"/>
      <c r="O269" s="8">
        <v>1.7949999999999999</v>
      </c>
      <c r="P269" s="8">
        <f>1.079+1.151</f>
        <v>2.23</v>
      </c>
      <c r="Q269" s="8">
        <v>0.60799999999999998</v>
      </c>
      <c r="R269" s="8">
        <f>0.475+0.46</f>
        <v>0.93500000000000005</v>
      </c>
      <c r="S269" s="8">
        <v>2.218</v>
      </c>
      <c r="T269" s="8">
        <v>1.9300000000000002</v>
      </c>
      <c r="U269" s="8"/>
      <c r="V269" s="8">
        <f t="shared" si="61"/>
        <v>1.2423398328690809</v>
      </c>
      <c r="W269" s="8">
        <f>R269/Q269</f>
        <v>1.5378289473684212</v>
      </c>
      <c r="X269" s="8">
        <f t="shared" si="66"/>
        <v>0.87015329125338148</v>
      </c>
      <c r="Y269" s="31">
        <f t="shared" si="67"/>
        <v>-8.5209929654752853E-2</v>
      </c>
      <c r="Z269" s="31">
        <f t="shared" si="68"/>
        <v>-8.5209929654752853E-2</v>
      </c>
      <c r="AA269" s="31" t="str">
        <f t="shared" si="69"/>
        <v/>
      </c>
    </row>
    <row r="270" spans="1:27" x14ac:dyDescent="0.25">
      <c r="A270" s="6" t="str">
        <f t="shared" si="62"/>
        <v>fragment</v>
      </c>
      <c r="B270" s="6" t="s">
        <v>253</v>
      </c>
      <c r="C270" s="6" t="str">
        <f t="shared" si="63"/>
        <v>HC106 428</v>
      </c>
      <c r="D270" s="6" t="s">
        <v>252</v>
      </c>
      <c r="E270" s="20">
        <v>428</v>
      </c>
      <c r="F270" s="6" t="s">
        <v>154</v>
      </c>
      <c r="G270" s="6" t="s">
        <v>262</v>
      </c>
      <c r="H270" s="6" t="s">
        <v>979</v>
      </c>
      <c r="I270" s="6" t="s">
        <v>5</v>
      </c>
      <c r="J270" s="29"/>
      <c r="K270" s="8" t="str">
        <f t="shared" si="64"/>
        <v/>
      </c>
      <c r="L270" s="8" t="str">
        <f t="shared" si="65"/>
        <v/>
      </c>
      <c r="M270" s="8"/>
      <c r="N270" s="8"/>
      <c r="O270" s="8">
        <v>2.3959999999999999</v>
      </c>
      <c r="P270" s="8">
        <v>2.0329999999999999</v>
      </c>
      <c r="Q270" s="8">
        <v>2.8679999999999999</v>
      </c>
      <c r="R270" s="8">
        <f>0.954+1.167+1.06</f>
        <v>3.181</v>
      </c>
      <c r="S270" s="8">
        <v>4.0369999999999999</v>
      </c>
      <c r="T270" s="8">
        <v>2.2829999999999999</v>
      </c>
      <c r="U270" s="8"/>
      <c r="V270" s="8">
        <f t="shared" si="61"/>
        <v>0.84849749582637735</v>
      </c>
      <c r="W270" s="8">
        <f>R270/Q270</f>
        <v>1.1091352859135286</v>
      </c>
      <c r="X270" s="8">
        <f t="shared" si="66"/>
        <v>0.56551894971513494</v>
      </c>
      <c r="Y270" s="31">
        <f t="shared" si="67"/>
        <v>7.5177886821088544E-2</v>
      </c>
      <c r="Z270" s="31">
        <f t="shared" si="68"/>
        <v>7.5177886821088544E-2</v>
      </c>
      <c r="AA270" s="31" t="str">
        <f t="shared" si="69"/>
        <v/>
      </c>
    </row>
    <row r="271" spans="1:27" x14ac:dyDescent="0.25">
      <c r="A271" s="6" t="str">
        <f t="shared" si="62"/>
        <v>fragment</v>
      </c>
      <c r="B271" s="6" t="s">
        <v>253</v>
      </c>
      <c r="C271" s="6" t="str">
        <f t="shared" si="63"/>
        <v>HC106 428</v>
      </c>
      <c r="D271" s="6" t="s">
        <v>252</v>
      </c>
      <c r="E271" s="20">
        <v>428</v>
      </c>
      <c r="F271" s="6" t="s">
        <v>154</v>
      </c>
      <c r="G271" s="6" t="s">
        <v>263</v>
      </c>
      <c r="H271" s="6" t="s">
        <v>979</v>
      </c>
      <c r="I271" s="6" t="s">
        <v>5</v>
      </c>
      <c r="J271" s="29"/>
      <c r="K271" s="8" t="str">
        <f t="shared" si="64"/>
        <v/>
      </c>
      <c r="L271" s="8" t="str">
        <f t="shared" si="65"/>
        <v/>
      </c>
      <c r="M271" s="8"/>
      <c r="N271" s="8"/>
      <c r="O271" s="8">
        <v>2.3719999999999999</v>
      </c>
      <c r="P271" s="8">
        <f>2.161+0.985</f>
        <v>3.1459999999999999</v>
      </c>
      <c r="Q271" s="8">
        <v>0.57699999999999996</v>
      </c>
      <c r="R271" s="8">
        <f>0.633+0.63</f>
        <v>1.2629999999999999</v>
      </c>
      <c r="S271" s="8">
        <v>2.7370000000000001</v>
      </c>
      <c r="T271" s="8">
        <f>2.123+1.084</f>
        <v>3.2070000000000003</v>
      </c>
      <c r="U271" s="8"/>
      <c r="V271" s="8">
        <f t="shared" si="61"/>
        <v>1.3263069139966273</v>
      </c>
      <c r="W271" s="8">
        <f>R271/Q271</f>
        <v>2.1889081455805894</v>
      </c>
      <c r="X271" s="8">
        <f t="shared" si="66"/>
        <v>1.1717208622579467</v>
      </c>
      <c r="Y271" s="31">
        <f t="shared" si="67"/>
        <v>-0.19376776131737491</v>
      </c>
      <c r="Z271" s="31">
        <f t="shared" si="68"/>
        <v>-0.19376776131737491</v>
      </c>
      <c r="AA271" s="31" t="str">
        <f t="shared" si="69"/>
        <v/>
      </c>
    </row>
    <row r="272" spans="1:27" x14ac:dyDescent="0.25">
      <c r="A272" s="6" t="str">
        <f t="shared" si="62"/>
        <v>complete</v>
      </c>
      <c r="B272" s="6" t="s">
        <v>253</v>
      </c>
      <c r="C272" s="6" t="str">
        <f t="shared" si="63"/>
        <v>HC106 428</v>
      </c>
      <c r="D272" s="6" t="s">
        <v>252</v>
      </c>
      <c r="E272" s="20">
        <v>428</v>
      </c>
      <c r="F272" s="6" t="s">
        <v>154</v>
      </c>
      <c r="G272" s="6" t="s">
        <v>264</v>
      </c>
      <c r="H272" s="6" t="s">
        <v>979</v>
      </c>
      <c r="I272" s="6" t="s">
        <v>5</v>
      </c>
      <c r="J272" s="29">
        <v>33.828000000000003</v>
      </c>
      <c r="K272" s="8">
        <f t="shared" si="64"/>
        <v>1.5292763219192271</v>
      </c>
      <c r="L272" s="8">
        <f t="shared" si="65"/>
        <v>8.1264590479080674</v>
      </c>
      <c r="M272" s="8"/>
      <c r="N272" s="8"/>
      <c r="O272" s="8">
        <v>2.7240000000000002</v>
      </c>
      <c r="P272" s="8">
        <f>0.962+2.35</f>
        <v>3.3120000000000003</v>
      </c>
      <c r="Q272" s="8">
        <v>0.47800000000000004</v>
      </c>
      <c r="R272" s="8">
        <f>0.464+0.448</f>
        <v>0.91200000000000003</v>
      </c>
      <c r="S272" s="8">
        <v>3.117</v>
      </c>
      <c r="T272" s="8">
        <f>1.296+2.369</f>
        <v>3.665</v>
      </c>
      <c r="U272" s="8"/>
      <c r="V272" s="8">
        <f t="shared" si="61"/>
        <v>1.2158590308370045</v>
      </c>
      <c r="W272" s="8">
        <f>R272/Q272</f>
        <v>1.907949790794979</v>
      </c>
      <c r="X272" s="8">
        <f t="shared" si="66"/>
        <v>1.1758100737888997</v>
      </c>
      <c r="Y272" s="31">
        <f t="shared" si="67"/>
        <v>-0.15630870808068359</v>
      </c>
      <c r="Z272" s="31" t="str">
        <f t="shared" si="68"/>
        <v/>
      </c>
      <c r="AA272" s="31">
        <f t="shared" si="69"/>
        <v>-0.15630870808068359</v>
      </c>
    </row>
    <row r="273" spans="1:27" x14ac:dyDescent="0.25">
      <c r="A273" s="6" t="str">
        <f t="shared" si="62"/>
        <v>fragment</v>
      </c>
      <c r="B273" s="6" t="s">
        <v>253</v>
      </c>
      <c r="C273" s="6" t="str">
        <f t="shared" si="63"/>
        <v>HC106 428</v>
      </c>
      <c r="D273" s="6" t="s">
        <v>252</v>
      </c>
      <c r="E273" s="20">
        <v>428</v>
      </c>
      <c r="F273" s="6" t="s">
        <v>154</v>
      </c>
      <c r="G273" s="6" t="s">
        <v>265</v>
      </c>
      <c r="H273" s="6" t="s">
        <v>979</v>
      </c>
      <c r="I273" s="6" t="s">
        <v>5</v>
      </c>
      <c r="J273" s="29"/>
      <c r="K273" s="8" t="str">
        <f t="shared" si="64"/>
        <v/>
      </c>
      <c r="L273" s="8" t="str">
        <f t="shared" si="65"/>
        <v/>
      </c>
      <c r="M273" s="8"/>
      <c r="N273" s="8"/>
      <c r="O273" s="8">
        <v>3.073</v>
      </c>
      <c r="P273" s="8">
        <f>0.572+1.129+1.12+1.235+0.391+0.649+0.21</f>
        <v>5.306</v>
      </c>
      <c r="Q273" s="8"/>
      <c r="R273" s="8"/>
      <c r="S273" s="8">
        <v>2.57</v>
      </c>
      <c r="T273" s="8">
        <f>0.822+2.109+1.312+1.193</f>
        <v>5.4359999999999999</v>
      </c>
      <c r="U273" s="8"/>
      <c r="V273" s="8">
        <f t="shared" si="61"/>
        <v>1.7266514806378133</v>
      </c>
      <c r="W273" s="8"/>
      <c r="X273" s="8">
        <f t="shared" si="66"/>
        <v>2.1151750972762646</v>
      </c>
      <c r="Y273" s="31">
        <f t="shared" si="67"/>
        <v>-0.28350776102128805</v>
      </c>
      <c r="Z273" s="31">
        <f t="shared" si="68"/>
        <v>-0.28350776102128805</v>
      </c>
      <c r="AA273" s="31" t="str">
        <f t="shared" si="69"/>
        <v/>
      </c>
    </row>
    <row r="274" spans="1:27" x14ac:dyDescent="0.25">
      <c r="A274" s="6" t="str">
        <f t="shared" si="62"/>
        <v>fragment</v>
      </c>
      <c r="B274" s="6" t="s">
        <v>253</v>
      </c>
      <c r="C274" s="6" t="str">
        <f t="shared" si="63"/>
        <v>HC106 428</v>
      </c>
      <c r="D274" s="6" t="s">
        <v>252</v>
      </c>
      <c r="E274" s="20">
        <v>428</v>
      </c>
      <c r="F274" s="6" t="s">
        <v>154</v>
      </c>
      <c r="G274" s="6" t="s">
        <v>266</v>
      </c>
      <c r="H274" s="6" t="s">
        <v>979</v>
      </c>
      <c r="I274" s="6" t="s">
        <v>5</v>
      </c>
      <c r="J274" s="29"/>
      <c r="K274" s="8" t="str">
        <f t="shared" si="64"/>
        <v/>
      </c>
      <c r="L274" s="8" t="str">
        <f t="shared" si="65"/>
        <v/>
      </c>
      <c r="M274" s="8">
        <v>0.71499999999999997</v>
      </c>
      <c r="N274" s="8">
        <v>1.4550000000000001</v>
      </c>
      <c r="O274" s="8">
        <v>0.84699999999999998</v>
      </c>
      <c r="P274" s="8">
        <v>1.359</v>
      </c>
      <c r="Q274" s="8">
        <v>0.38100000000000001</v>
      </c>
      <c r="R274" s="8">
        <f>0.482+0.395</f>
        <v>0.877</v>
      </c>
      <c r="S274" s="8"/>
      <c r="T274" s="8"/>
      <c r="U274" s="8">
        <f>N274/M274</f>
        <v>2.034965034965035</v>
      </c>
      <c r="V274" s="8">
        <f t="shared" si="61"/>
        <v>1.6044864226682409</v>
      </c>
      <c r="W274" s="8">
        <f>R274/Q274</f>
        <v>2.3018372703412071</v>
      </c>
      <c r="X274" s="8"/>
      <c r="Y274" s="31">
        <f t="shared" si="67"/>
        <v>-0.2967594035178539</v>
      </c>
      <c r="Z274" s="31">
        <f t="shared" si="68"/>
        <v>-0.2967594035178539</v>
      </c>
      <c r="AA274" s="31" t="str">
        <f t="shared" si="69"/>
        <v/>
      </c>
    </row>
    <row r="275" spans="1:27" x14ac:dyDescent="0.25">
      <c r="A275" s="6" t="str">
        <f t="shared" si="62"/>
        <v>fragment</v>
      </c>
      <c r="B275" s="6" t="s">
        <v>253</v>
      </c>
      <c r="C275" s="6" t="str">
        <f t="shared" si="63"/>
        <v>HC106 428</v>
      </c>
      <c r="D275" s="6" t="s">
        <v>252</v>
      </c>
      <c r="E275" s="20">
        <v>428</v>
      </c>
      <c r="F275" s="6" t="s">
        <v>154</v>
      </c>
      <c r="G275" s="6" t="s">
        <v>267</v>
      </c>
      <c r="H275" s="6" t="s">
        <v>979</v>
      </c>
      <c r="I275" s="6" t="s">
        <v>5</v>
      </c>
      <c r="J275" s="29"/>
      <c r="K275" s="8" t="str">
        <f t="shared" si="64"/>
        <v/>
      </c>
      <c r="L275" s="8" t="str">
        <f t="shared" si="65"/>
        <v/>
      </c>
      <c r="M275" s="8"/>
      <c r="N275" s="8"/>
      <c r="O275" s="8">
        <v>5.3259999999999996</v>
      </c>
      <c r="P275" s="8">
        <f>1.868+2.832</f>
        <v>4.7</v>
      </c>
      <c r="Q275" s="8"/>
      <c r="R275" s="8"/>
      <c r="S275" s="8"/>
      <c r="T275" s="8"/>
      <c r="U275" s="8"/>
      <c r="V275" s="8">
        <f t="shared" si="61"/>
        <v>0.88246338715734141</v>
      </c>
      <c r="W275" s="8"/>
      <c r="X275" s="8"/>
      <c r="Y275" s="31">
        <f t="shared" si="67"/>
        <v>5.4303304167204955E-2</v>
      </c>
      <c r="Z275" s="31">
        <f t="shared" si="68"/>
        <v>5.4303304167204955E-2</v>
      </c>
      <c r="AA275" s="31" t="str">
        <f t="shared" si="69"/>
        <v/>
      </c>
    </row>
    <row r="276" spans="1:27" x14ac:dyDescent="0.25">
      <c r="A276" s="6" t="str">
        <f t="shared" si="62"/>
        <v>fragment</v>
      </c>
      <c r="B276" s="6" t="s">
        <v>253</v>
      </c>
      <c r="C276" s="6" t="str">
        <f t="shared" si="63"/>
        <v>HC106 428</v>
      </c>
      <c r="D276" s="6" t="s">
        <v>252</v>
      </c>
      <c r="E276" s="20">
        <v>428</v>
      </c>
      <c r="F276" s="6" t="s">
        <v>154</v>
      </c>
      <c r="G276" s="6" t="s">
        <v>268</v>
      </c>
      <c r="H276" s="6" t="s">
        <v>979</v>
      </c>
      <c r="I276" s="6" t="s">
        <v>5</v>
      </c>
      <c r="J276" s="29"/>
      <c r="K276" s="8" t="str">
        <f t="shared" si="64"/>
        <v/>
      </c>
      <c r="L276" s="8" t="str">
        <f t="shared" si="65"/>
        <v/>
      </c>
      <c r="M276" s="8"/>
      <c r="N276" s="8"/>
      <c r="O276" s="8">
        <v>7.7249999999999996</v>
      </c>
      <c r="P276" s="8">
        <f>1.992+3.75+0.748</f>
        <v>6.49</v>
      </c>
      <c r="Q276" s="8"/>
      <c r="R276" s="8"/>
      <c r="S276" s="8">
        <v>8.0229999999999997</v>
      </c>
      <c r="T276" s="8">
        <f>2.324+3.287+0.535</f>
        <v>6.1459999999999999</v>
      </c>
      <c r="U276" s="8"/>
      <c r="V276" s="8">
        <f t="shared" si="61"/>
        <v>0.84012944983818771</v>
      </c>
      <c r="W276" s="8"/>
      <c r="X276" s="8">
        <f>T276/S276</f>
        <v>0.76604761311230218</v>
      </c>
      <c r="Y276" s="31">
        <f t="shared" si="67"/>
        <v>9.5236576001735365E-2</v>
      </c>
      <c r="Z276" s="31">
        <f t="shared" si="68"/>
        <v>9.5236576001735365E-2</v>
      </c>
      <c r="AA276" s="31" t="str">
        <f t="shared" si="69"/>
        <v/>
      </c>
    </row>
    <row r="277" spans="1:27" x14ac:dyDescent="0.25">
      <c r="A277" s="6" t="str">
        <f t="shared" si="62"/>
        <v>fragment</v>
      </c>
      <c r="B277" s="6" t="s">
        <v>253</v>
      </c>
      <c r="C277" s="6" t="str">
        <f t="shared" si="63"/>
        <v>HC106 428</v>
      </c>
      <c r="D277" s="6" t="s">
        <v>252</v>
      </c>
      <c r="E277" s="20">
        <v>428</v>
      </c>
      <c r="F277" s="6" t="s">
        <v>154</v>
      </c>
      <c r="G277" s="6" t="s">
        <v>269</v>
      </c>
      <c r="H277" s="6" t="s">
        <v>979</v>
      </c>
      <c r="I277" s="6" t="s">
        <v>5</v>
      </c>
      <c r="J277" s="29"/>
      <c r="K277" s="8" t="str">
        <f t="shared" si="64"/>
        <v/>
      </c>
      <c r="L277" s="8" t="str">
        <f t="shared" si="65"/>
        <v/>
      </c>
      <c r="M277" s="8"/>
      <c r="N277" s="8"/>
      <c r="O277" s="8">
        <v>2.9130000000000003</v>
      </c>
      <c r="P277" s="8">
        <f>1.736+1.233</f>
        <v>2.9690000000000003</v>
      </c>
      <c r="Q277" s="8"/>
      <c r="R277" s="8"/>
      <c r="S277" s="8">
        <v>9.1880000000000006</v>
      </c>
      <c r="T277" s="8">
        <f>1.613+3.362+2.956+0.542</f>
        <v>8.472999999999999</v>
      </c>
      <c r="U277" s="8"/>
      <c r="V277" s="8">
        <f t="shared" si="61"/>
        <v>1.0192241675248885</v>
      </c>
      <c r="W277" s="8"/>
      <c r="X277" s="8">
        <f>T277/S277</f>
        <v>0.92218110579016088</v>
      </c>
      <c r="Y277" s="31">
        <f t="shared" si="67"/>
        <v>1.291379072793482E-2</v>
      </c>
      <c r="Z277" s="31">
        <f t="shared" si="68"/>
        <v>1.291379072793482E-2</v>
      </c>
      <c r="AA277" s="31" t="str">
        <f t="shared" si="69"/>
        <v/>
      </c>
    </row>
    <row r="278" spans="1:27" x14ac:dyDescent="0.25">
      <c r="A278" s="6" t="str">
        <f t="shared" si="62"/>
        <v>complete</v>
      </c>
      <c r="B278" s="6" t="s">
        <v>253</v>
      </c>
      <c r="C278" s="6" t="str">
        <f t="shared" si="63"/>
        <v>HC106 428</v>
      </c>
      <c r="D278" s="6" t="s">
        <v>252</v>
      </c>
      <c r="E278" s="20">
        <v>428</v>
      </c>
      <c r="F278" s="6" t="s">
        <v>154</v>
      </c>
      <c r="G278" s="6" t="s">
        <v>270</v>
      </c>
      <c r="H278" s="6" t="s">
        <v>979</v>
      </c>
      <c r="I278" s="6" t="s">
        <v>5</v>
      </c>
      <c r="J278" s="29">
        <v>28.369</v>
      </c>
      <c r="K278" s="8">
        <f t="shared" si="64"/>
        <v>1.4528440272961625</v>
      </c>
      <c r="L278" s="8">
        <f t="shared" si="65"/>
        <v>7.9504671856856692</v>
      </c>
      <c r="M278" s="8"/>
      <c r="N278" s="8"/>
      <c r="O278" s="8">
        <v>2.1880000000000002</v>
      </c>
      <c r="P278" s="8">
        <f>2.097+1.114</f>
        <v>3.2110000000000003</v>
      </c>
      <c r="Q278" s="8">
        <v>0.71</v>
      </c>
      <c r="R278" s="8">
        <f>0.492+0.729+0.284</f>
        <v>1.5050000000000001</v>
      </c>
      <c r="S278" s="8">
        <v>2.9619999999999997</v>
      </c>
      <c r="T278" s="8">
        <f>3.322+0.859</f>
        <v>4.181</v>
      </c>
      <c r="U278" s="8"/>
      <c r="V278" s="8">
        <f t="shared" si="61"/>
        <v>1.4675502742230349</v>
      </c>
      <c r="W278" s="8">
        <f>R278/Q278</f>
        <v>2.119718309859155</v>
      </c>
      <c r="X278" s="8">
        <f>T278/S278</f>
        <v>1.411546252532073</v>
      </c>
      <c r="Y278" s="31">
        <f t="shared" si="67"/>
        <v>-0.22174579543040521</v>
      </c>
      <c r="Z278" s="31" t="str">
        <f t="shared" si="68"/>
        <v/>
      </c>
      <c r="AA278" s="31">
        <f t="shared" si="69"/>
        <v>-0.22174579543040521</v>
      </c>
    </row>
    <row r="279" spans="1:27" x14ac:dyDescent="0.25">
      <c r="A279" s="6" t="str">
        <f t="shared" si="62"/>
        <v>fragment</v>
      </c>
      <c r="B279" s="6" t="s">
        <v>253</v>
      </c>
      <c r="C279" s="6" t="str">
        <f t="shared" si="63"/>
        <v>HC106 428</v>
      </c>
      <c r="D279" s="6" t="s">
        <v>252</v>
      </c>
      <c r="E279" s="20">
        <v>428</v>
      </c>
      <c r="F279" s="6" t="s">
        <v>154</v>
      </c>
      <c r="G279" s="6" t="s">
        <v>271</v>
      </c>
      <c r="H279" s="6" t="s">
        <v>979</v>
      </c>
      <c r="I279" s="6" t="s">
        <v>5</v>
      </c>
      <c r="J279" s="29"/>
      <c r="K279" s="8" t="str">
        <f t="shared" si="64"/>
        <v/>
      </c>
      <c r="L279" s="8" t="str">
        <f t="shared" si="65"/>
        <v/>
      </c>
      <c r="M279" s="8"/>
      <c r="N279" s="8"/>
      <c r="O279" s="8">
        <v>2.569</v>
      </c>
      <c r="P279" s="8">
        <f>1.063+2.001+0.586</f>
        <v>3.65</v>
      </c>
      <c r="Q279" s="8"/>
      <c r="R279" s="8"/>
      <c r="S279" s="8">
        <v>6.1980000000000004</v>
      </c>
      <c r="T279" s="8">
        <f>1.034+4.098+2.416</f>
        <v>7.548</v>
      </c>
      <c r="U279" s="8"/>
      <c r="V279" s="8">
        <f t="shared" si="61"/>
        <v>1.4207862981704944</v>
      </c>
      <c r="W279" s="8"/>
      <c r="X279" s="8">
        <f>T279/S279</f>
        <v>1.2178121974830589</v>
      </c>
      <c r="Y279" s="31">
        <f t="shared" si="67"/>
        <v>-0.12034331483340603</v>
      </c>
      <c r="Z279" s="31">
        <f t="shared" si="68"/>
        <v>-0.12034331483340603</v>
      </c>
      <c r="AA279" s="31" t="str">
        <f t="shared" si="69"/>
        <v/>
      </c>
    </row>
    <row r="280" spans="1:27" x14ac:dyDescent="0.25">
      <c r="A280" s="6" t="str">
        <f t="shared" si="62"/>
        <v>fragment</v>
      </c>
      <c r="B280" s="6" t="s">
        <v>253</v>
      </c>
      <c r="C280" s="6" t="str">
        <f t="shared" si="63"/>
        <v>HC106 428</v>
      </c>
      <c r="D280" s="6" t="s">
        <v>252</v>
      </c>
      <c r="E280" s="20">
        <v>428</v>
      </c>
      <c r="F280" s="6" t="s">
        <v>154</v>
      </c>
      <c r="G280" s="6" t="s">
        <v>272</v>
      </c>
      <c r="H280" s="6" t="s">
        <v>979</v>
      </c>
      <c r="I280" s="6" t="s">
        <v>5</v>
      </c>
      <c r="J280" s="29"/>
      <c r="K280" s="8" t="str">
        <f t="shared" si="64"/>
        <v/>
      </c>
      <c r="L280" s="8" t="str">
        <f t="shared" si="65"/>
        <v/>
      </c>
      <c r="M280" s="8"/>
      <c r="N280" s="8"/>
      <c r="O280" s="8">
        <v>3.0760000000000001</v>
      </c>
      <c r="P280" s="8">
        <f>1.672+1.145</f>
        <v>2.8170000000000002</v>
      </c>
      <c r="Q280" s="8"/>
      <c r="R280" s="8"/>
      <c r="S280" s="8">
        <v>3.1789999999999998</v>
      </c>
      <c r="T280" s="8">
        <f>1.08+2.002</f>
        <v>3.0819999999999999</v>
      </c>
      <c r="U280" s="8"/>
      <c r="V280" s="8">
        <f t="shared" si="61"/>
        <v>0.91579973992197661</v>
      </c>
      <c r="W280" s="8"/>
      <c r="X280" s="8">
        <f>T280/S280</f>
        <v>0.96948726014469955</v>
      </c>
      <c r="Y280" s="31">
        <f t="shared" si="67"/>
        <v>2.5652522789267055E-2</v>
      </c>
      <c r="Z280" s="31">
        <f t="shared" si="68"/>
        <v>2.5652522789267055E-2</v>
      </c>
      <c r="AA280" s="31" t="str">
        <f t="shared" si="69"/>
        <v/>
      </c>
    </row>
    <row r="281" spans="1:27" x14ac:dyDescent="0.25">
      <c r="A281" s="6" t="str">
        <f t="shared" si="62"/>
        <v>fragment</v>
      </c>
      <c r="B281" s="6" t="s">
        <v>253</v>
      </c>
      <c r="C281" s="6" t="str">
        <f t="shared" si="63"/>
        <v>HC106 428</v>
      </c>
      <c r="D281" s="6" t="s">
        <v>252</v>
      </c>
      <c r="E281" s="20">
        <v>428</v>
      </c>
      <c r="F281" s="6" t="s">
        <v>154</v>
      </c>
      <c r="G281" s="6" t="s">
        <v>273</v>
      </c>
      <c r="H281" s="6" t="s">
        <v>979</v>
      </c>
      <c r="I281" s="6" t="s">
        <v>5</v>
      </c>
      <c r="J281" s="29"/>
      <c r="K281" s="8" t="str">
        <f t="shared" si="64"/>
        <v/>
      </c>
      <c r="L281" s="8" t="str">
        <f t="shared" si="65"/>
        <v/>
      </c>
      <c r="M281" s="8">
        <v>2.2280000000000002</v>
      </c>
      <c r="N281" s="8">
        <f>1.016+0.904</f>
        <v>1.92</v>
      </c>
      <c r="O281" s="8">
        <v>3.9849999999999999</v>
      </c>
      <c r="P281" s="8">
        <f>1.659+1.694</f>
        <v>3.3529999999999998</v>
      </c>
      <c r="Q281" s="8">
        <v>0.56600000000000006</v>
      </c>
      <c r="R281" s="8">
        <f>0.44+0.434</f>
        <v>0.874</v>
      </c>
      <c r="S281" s="8"/>
      <c r="T281" s="8"/>
      <c r="U281" s="8">
        <f>N281/M281</f>
        <v>0.8617594254937162</v>
      </c>
      <c r="V281" s="8">
        <f t="shared" si="61"/>
        <v>0.84140526976160601</v>
      </c>
      <c r="W281" s="8">
        <f>R281/Q281</f>
        <v>1.5441696113074204</v>
      </c>
      <c r="X281" s="8"/>
      <c r="Y281" s="31">
        <f t="shared" si="67"/>
        <v>-3.4405745954945673E-2</v>
      </c>
      <c r="Z281" s="31">
        <f t="shared" si="68"/>
        <v>-3.4405745954945673E-2</v>
      </c>
      <c r="AA281" s="31" t="str">
        <f t="shared" si="69"/>
        <v/>
      </c>
    </row>
    <row r="282" spans="1:27" x14ac:dyDescent="0.25">
      <c r="A282" s="6" t="str">
        <f t="shared" si="62"/>
        <v>complete</v>
      </c>
      <c r="B282" s="6" t="s">
        <v>253</v>
      </c>
      <c r="C282" s="6" t="str">
        <f t="shared" si="63"/>
        <v>HC106 428</v>
      </c>
      <c r="D282" s="6" t="s">
        <v>252</v>
      </c>
      <c r="E282" s="20">
        <v>428</v>
      </c>
      <c r="F282" s="6" t="s">
        <v>154</v>
      </c>
      <c r="G282" s="6" t="s">
        <v>274</v>
      </c>
      <c r="H282" s="6" t="s">
        <v>979</v>
      </c>
      <c r="I282" s="6" t="s">
        <v>5</v>
      </c>
      <c r="J282" s="29">
        <f>42.482*2</f>
        <v>84.963999999999999</v>
      </c>
      <c r="K282" s="8">
        <f t="shared" si="64"/>
        <v>1.9292349502655821</v>
      </c>
      <c r="L282" s="8">
        <f t="shared" si="65"/>
        <v>9.0473978233527301</v>
      </c>
      <c r="M282" s="8"/>
      <c r="N282" s="8"/>
      <c r="O282" s="8">
        <v>3.52</v>
      </c>
      <c r="P282" s="8">
        <f>1.333+1.582</f>
        <v>2.915</v>
      </c>
      <c r="Q282" s="8"/>
      <c r="R282" s="8"/>
      <c r="S282" s="8">
        <v>3.4830000000000001</v>
      </c>
      <c r="T282" s="8">
        <v>2.5529999999999999</v>
      </c>
      <c r="U282" s="8"/>
      <c r="V282" s="8">
        <f t="shared" si="61"/>
        <v>0.828125</v>
      </c>
      <c r="W282" s="8"/>
      <c r="X282" s="8">
        <f>T282/S282</f>
        <v>0.73298880275624456</v>
      </c>
      <c r="Y282" s="31">
        <f t="shared" si="67"/>
        <v>0.10759543205860674</v>
      </c>
      <c r="Z282" s="31" t="str">
        <f t="shared" si="68"/>
        <v/>
      </c>
      <c r="AA282" s="31">
        <f t="shared" si="69"/>
        <v>0.10759543205860674</v>
      </c>
    </row>
    <row r="283" spans="1:27" x14ac:dyDescent="0.25">
      <c r="A283" s="6" t="str">
        <f t="shared" si="62"/>
        <v>fragment</v>
      </c>
      <c r="B283" s="6" t="s">
        <v>253</v>
      </c>
      <c r="C283" s="6" t="str">
        <f t="shared" si="63"/>
        <v>HC106 428</v>
      </c>
      <c r="D283" s="6" t="s">
        <v>252</v>
      </c>
      <c r="E283" s="20">
        <v>428</v>
      </c>
      <c r="F283" s="6" t="s">
        <v>154</v>
      </c>
      <c r="G283" s="6" t="s">
        <v>275</v>
      </c>
      <c r="H283" s="6" t="s">
        <v>979</v>
      </c>
      <c r="I283" s="6" t="s">
        <v>5</v>
      </c>
      <c r="J283" s="29"/>
      <c r="K283" s="8" t="str">
        <f t="shared" si="64"/>
        <v/>
      </c>
      <c r="L283" s="8" t="str">
        <f t="shared" si="65"/>
        <v/>
      </c>
      <c r="M283" s="8"/>
      <c r="N283" s="8"/>
      <c r="O283" s="8"/>
      <c r="P283" s="8"/>
      <c r="Q283" s="8">
        <v>5.2119999999999997</v>
      </c>
      <c r="R283" s="8">
        <f>1.977+2.278+0.922</f>
        <v>5.1769999999999996</v>
      </c>
      <c r="S283" s="8"/>
      <c r="T283" s="8"/>
      <c r="U283" s="8"/>
      <c r="V283" s="8"/>
      <c r="W283" s="8">
        <f>R283/Q283</f>
        <v>0.99328472755180353</v>
      </c>
      <c r="X283" s="8"/>
      <c r="Y283" s="31">
        <f t="shared" si="67"/>
        <v>2.9262420586911677E-3</v>
      </c>
      <c r="Z283" s="31">
        <f t="shared" si="68"/>
        <v>2.9262420586911677E-3</v>
      </c>
      <c r="AA283" s="31" t="str">
        <f t="shared" si="69"/>
        <v/>
      </c>
    </row>
    <row r="284" spans="1:27" x14ac:dyDescent="0.25">
      <c r="A284" s="6" t="str">
        <f t="shared" si="62"/>
        <v>fragment</v>
      </c>
      <c r="B284" s="6" t="s">
        <v>253</v>
      </c>
      <c r="C284" s="6" t="str">
        <f t="shared" si="63"/>
        <v>HC106 517</v>
      </c>
      <c r="D284" s="6" t="s">
        <v>252</v>
      </c>
      <c r="E284" s="20">
        <v>517</v>
      </c>
      <c r="F284" s="6" t="s">
        <v>161</v>
      </c>
      <c r="G284" s="6" t="s">
        <v>285</v>
      </c>
      <c r="H284" s="6" t="s">
        <v>977</v>
      </c>
      <c r="I284" s="6" t="s">
        <v>5</v>
      </c>
      <c r="J284" s="29"/>
      <c r="K284" s="8" t="str">
        <f t="shared" si="64"/>
        <v/>
      </c>
      <c r="L284" s="8" t="str">
        <f t="shared" si="65"/>
        <v/>
      </c>
      <c r="M284" s="8"/>
      <c r="N284" s="8"/>
      <c r="O284" s="8">
        <v>4.8239999999999998</v>
      </c>
      <c r="P284" s="8">
        <f>1.559+1.755</f>
        <v>3.3140000000000001</v>
      </c>
      <c r="Q284" s="8"/>
      <c r="R284" s="8"/>
      <c r="S284" s="8">
        <v>5.444</v>
      </c>
      <c r="T284" s="8">
        <v>3.2210000000000001</v>
      </c>
      <c r="U284" s="8"/>
      <c r="V284" s="8">
        <f t="shared" ref="V284:V294" si="70">P284/O284</f>
        <v>0.68698175787728033</v>
      </c>
      <c r="W284" s="8"/>
      <c r="X284" s="8">
        <f>T284/S284</f>
        <v>0.59166054371785459</v>
      </c>
      <c r="Y284" s="31">
        <f t="shared" si="67"/>
        <v>0.19428092747177625</v>
      </c>
      <c r="Z284" s="31">
        <f t="shared" si="68"/>
        <v>0.19428092747177625</v>
      </c>
      <c r="AA284" s="31" t="str">
        <f t="shared" si="69"/>
        <v/>
      </c>
    </row>
    <row r="285" spans="1:27" x14ac:dyDescent="0.25">
      <c r="A285" s="6" t="str">
        <f t="shared" si="62"/>
        <v>complete</v>
      </c>
      <c r="B285" s="6" t="s">
        <v>253</v>
      </c>
      <c r="C285" s="6" t="str">
        <f t="shared" si="63"/>
        <v>HC106 517</v>
      </c>
      <c r="D285" s="6" t="s">
        <v>252</v>
      </c>
      <c r="E285" s="20">
        <v>517</v>
      </c>
      <c r="F285" s="6" t="s">
        <v>161</v>
      </c>
      <c r="G285" s="6" t="s">
        <v>286</v>
      </c>
      <c r="H285" s="6" t="s">
        <v>977</v>
      </c>
      <c r="I285" s="6" t="s">
        <v>5</v>
      </c>
      <c r="J285" s="29">
        <v>16.603999999999999</v>
      </c>
      <c r="K285" s="8">
        <f t="shared" si="64"/>
        <v>1.2202127247064818</v>
      </c>
      <c r="L285" s="8">
        <f t="shared" si="65"/>
        <v>7.4148138161788832</v>
      </c>
      <c r="M285" s="8">
        <v>1.4319999999999999</v>
      </c>
      <c r="N285" s="8">
        <f>1.208+1.579</f>
        <v>2.7869999999999999</v>
      </c>
      <c r="O285" s="8">
        <v>1.2490000000000001</v>
      </c>
      <c r="P285" s="8">
        <f>0.448+1.122+0.181+1.24+0.448</f>
        <v>3.4390000000000001</v>
      </c>
      <c r="Q285" s="8"/>
      <c r="R285" s="8"/>
      <c r="S285" s="8"/>
      <c r="T285" s="8"/>
      <c r="U285" s="8">
        <f>N285/M285</f>
        <v>1.9462290502793296</v>
      </c>
      <c r="V285" s="8">
        <f t="shared" si="70"/>
        <v>2.753402722177742</v>
      </c>
      <c r="W285" s="8"/>
      <c r="X285" s="8"/>
      <c r="Y285" s="31">
        <f t="shared" si="67"/>
        <v>-0.37103383557921649</v>
      </c>
      <c r="Z285" s="31" t="str">
        <f t="shared" si="68"/>
        <v/>
      </c>
      <c r="AA285" s="31">
        <f t="shared" si="69"/>
        <v>-0.37103383557921649</v>
      </c>
    </row>
    <row r="286" spans="1:27" x14ac:dyDescent="0.25">
      <c r="A286" s="6" t="str">
        <f t="shared" si="62"/>
        <v>complete</v>
      </c>
      <c r="B286" s="6" t="s">
        <v>253</v>
      </c>
      <c r="C286" s="6" t="str">
        <f t="shared" si="63"/>
        <v>HC106 517</v>
      </c>
      <c r="D286" s="6" t="s">
        <v>252</v>
      </c>
      <c r="E286" s="20">
        <v>517</v>
      </c>
      <c r="F286" s="6" t="s">
        <v>161</v>
      </c>
      <c r="G286" s="6" t="s">
        <v>287</v>
      </c>
      <c r="H286" s="6" t="s">
        <v>977</v>
      </c>
      <c r="I286" s="6" t="s">
        <v>5</v>
      </c>
      <c r="J286" s="29">
        <f>28.502*2</f>
        <v>57.003999999999998</v>
      </c>
      <c r="K286" s="8">
        <f t="shared" si="64"/>
        <v>1.7559053314089275</v>
      </c>
      <c r="L286" s="8">
        <f t="shared" si="65"/>
        <v>8.6482916267990575</v>
      </c>
      <c r="M286" s="8"/>
      <c r="N286" s="8"/>
      <c r="O286" s="8">
        <v>5.7990000000000004</v>
      </c>
      <c r="P286" s="8">
        <f>1.539+3.054</f>
        <v>4.593</v>
      </c>
      <c r="Q286" s="8">
        <v>2.7</v>
      </c>
      <c r="R286" s="8">
        <f>0.634+1.113+0.949</f>
        <v>2.6959999999999997</v>
      </c>
      <c r="S286" s="8"/>
      <c r="T286" s="8"/>
      <c r="U286" s="8"/>
      <c r="V286" s="8">
        <f t="shared" si="70"/>
        <v>0.79203310915675107</v>
      </c>
      <c r="W286" s="8">
        <f>R286/Q286</f>
        <v>0.99851851851851836</v>
      </c>
      <c r="X286" s="8"/>
      <c r="Y286" s="31">
        <f t="shared" si="67"/>
        <v>4.8043147952901502E-2</v>
      </c>
      <c r="Z286" s="31" t="str">
        <f t="shared" si="68"/>
        <v/>
      </c>
      <c r="AA286" s="31">
        <f t="shared" si="69"/>
        <v>4.8043147952901502E-2</v>
      </c>
    </row>
    <row r="287" spans="1:27" x14ac:dyDescent="0.25">
      <c r="A287" s="6" t="str">
        <f t="shared" si="62"/>
        <v>complete</v>
      </c>
      <c r="B287" s="6" t="s">
        <v>253</v>
      </c>
      <c r="C287" s="6" t="str">
        <f t="shared" si="63"/>
        <v>HC106 517</v>
      </c>
      <c r="D287" s="6" t="s">
        <v>252</v>
      </c>
      <c r="E287" s="20">
        <v>517</v>
      </c>
      <c r="F287" s="6" t="s">
        <v>161</v>
      </c>
      <c r="G287" s="6" t="s">
        <v>288</v>
      </c>
      <c r="H287" s="6" t="s">
        <v>977</v>
      </c>
      <c r="I287" s="6" t="s">
        <v>5</v>
      </c>
      <c r="J287" s="29">
        <v>33.808999999999997</v>
      </c>
      <c r="K287" s="8">
        <f t="shared" si="64"/>
        <v>1.5290323254269755</v>
      </c>
      <c r="L287" s="8">
        <f t="shared" si="65"/>
        <v>8.1258972252222659</v>
      </c>
      <c r="M287" s="8">
        <v>1.1479999999999999</v>
      </c>
      <c r="N287" s="8">
        <f>1.881+0.675</f>
        <v>2.556</v>
      </c>
      <c r="O287" s="8">
        <v>2.9910000000000001</v>
      </c>
      <c r="P287" s="8">
        <f>1.137+2.069</f>
        <v>3.206</v>
      </c>
      <c r="Q287" s="8"/>
      <c r="R287" s="8"/>
      <c r="S287" s="8">
        <v>2.8679999999999999</v>
      </c>
      <c r="T287" s="8">
        <f>1.224+1.957</f>
        <v>3.181</v>
      </c>
      <c r="U287" s="8">
        <f>N287/M287</f>
        <v>2.2264808362369339</v>
      </c>
      <c r="V287" s="8">
        <f t="shared" si="70"/>
        <v>1.0718823136074891</v>
      </c>
      <c r="W287" s="8"/>
      <c r="X287" s="8">
        <f t="shared" ref="X287:X295" si="71">T287/S287</f>
        <v>1.1091352859135286</v>
      </c>
      <c r="Y287" s="31">
        <f t="shared" si="67"/>
        <v>-0.1670709121185581</v>
      </c>
      <c r="Z287" s="31" t="str">
        <f t="shared" si="68"/>
        <v/>
      </c>
      <c r="AA287" s="31">
        <f t="shared" si="69"/>
        <v>-0.1670709121185581</v>
      </c>
    </row>
    <row r="288" spans="1:27" x14ac:dyDescent="0.25">
      <c r="A288" s="6" t="str">
        <f t="shared" si="62"/>
        <v>fragment</v>
      </c>
      <c r="B288" s="6" t="s">
        <v>253</v>
      </c>
      <c r="C288" s="6" t="str">
        <f t="shared" si="63"/>
        <v>HC106 517</v>
      </c>
      <c r="D288" s="6" t="s">
        <v>252</v>
      </c>
      <c r="E288" s="20">
        <v>517</v>
      </c>
      <c r="F288" s="6" t="s">
        <v>161</v>
      </c>
      <c r="G288" s="6" t="s">
        <v>289</v>
      </c>
      <c r="H288" s="6" t="s">
        <v>977</v>
      </c>
      <c r="I288" s="6" t="s">
        <v>5</v>
      </c>
      <c r="J288" s="29"/>
      <c r="K288" s="8" t="str">
        <f t="shared" si="64"/>
        <v/>
      </c>
      <c r="L288" s="8" t="str">
        <f t="shared" si="65"/>
        <v/>
      </c>
      <c r="M288" s="8"/>
      <c r="N288" s="8"/>
      <c r="O288" s="8">
        <v>1.288</v>
      </c>
      <c r="P288" s="8">
        <f>0.854+0.659</f>
        <v>1.5129999999999999</v>
      </c>
      <c r="Q288" s="8">
        <v>0.63500000000000001</v>
      </c>
      <c r="R288" s="8">
        <f>0.496+0.489</f>
        <v>0.98499999999999999</v>
      </c>
      <c r="S288" s="8">
        <v>2.7189999999999999</v>
      </c>
      <c r="T288" s="8">
        <f>1.571+1.014</f>
        <v>2.585</v>
      </c>
      <c r="U288" s="8"/>
      <c r="V288" s="8">
        <f t="shared" si="70"/>
        <v>1.1746894409937887</v>
      </c>
      <c r="W288" s="8">
        <f t="shared" ref="W288:W293" si="72">R288/Q288</f>
        <v>1.5511811023622046</v>
      </c>
      <c r="X288" s="8">
        <f t="shared" si="71"/>
        <v>0.95071717543214418</v>
      </c>
      <c r="Y288" s="31">
        <f t="shared" si="67"/>
        <v>-8.8323677435284256E-2</v>
      </c>
      <c r="Z288" s="31">
        <f t="shared" si="68"/>
        <v>-8.8323677435284256E-2</v>
      </c>
      <c r="AA288" s="31" t="str">
        <f t="shared" si="69"/>
        <v/>
      </c>
    </row>
    <row r="289" spans="1:27" x14ac:dyDescent="0.25">
      <c r="A289" s="6" t="str">
        <f t="shared" si="62"/>
        <v>fragment</v>
      </c>
      <c r="B289" s="6" t="s">
        <v>253</v>
      </c>
      <c r="C289" s="6" t="str">
        <f t="shared" si="63"/>
        <v>HC106 517</v>
      </c>
      <c r="D289" s="6" t="s">
        <v>252</v>
      </c>
      <c r="E289" s="20">
        <v>517</v>
      </c>
      <c r="F289" s="6" t="s">
        <v>161</v>
      </c>
      <c r="G289" s="6" t="s">
        <v>290</v>
      </c>
      <c r="H289" s="6" t="s">
        <v>977</v>
      </c>
      <c r="I289" s="6" t="s">
        <v>5</v>
      </c>
      <c r="J289" s="29"/>
      <c r="K289" s="8" t="str">
        <f t="shared" si="64"/>
        <v/>
      </c>
      <c r="L289" s="8" t="str">
        <f t="shared" si="65"/>
        <v/>
      </c>
      <c r="M289" s="8"/>
      <c r="N289" s="8"/>
      <c r="O289" s="8">
        <v>2.2429999999999999</v>
      </c>
      <c r="P289" s="8">
        <f>0.912+0.972+0.571</f>
        <v>2.4550000000000001</v>
      </c>
      <c r="Q289" s="8">
        <v>0.78900000000000003</v>
      </c>
      <c r="R289" s="8">
        <f>0.623+0.488</f>
        <v>1.111</v>
      </c>
      <c r="S289" s="8">
        <v>0.99099999999999999</v>
      </c>
      <c r="T289" s="8">
        <f>1.423</f>
        <v>1.423</v>
      </c>
      <c r="U289" s="8"/>
      <c r="V289" s="8">
        <f t="shared" si="70"/>
        <v>1.0945162728488633</v>
      </c>
      <c r="W289" s="8">
        <f t="shared" si="72"/>
        <v>1.4081115335868186</v>
      </c>
      <c r="X289" s="8">
        <f t="shared" si="71"/>
        <v>1.4359233097880928</v>
      </c>
      <c r="Y289" s="31">
        <f t="shared" si="67"/>
        <v>-0.11821523158430502</v>
      </c>
      <c r="Z289" s="31">
        <f t="shared" si="68"/>
        <v>-0.11821523158430502</v>
      </c>
      <c r="AA289" s="31" t="str">
        <f t="shared" si="69"/>
        <v/>
      </c>
    </row>
    <row r="290" spans="1:27" x14ac:dyDescent="0.25">
      <c r="A290" s="6" t="str">
        <f t="shared" si="62"/>
        <v>fragment</v>
      </c>
      <c r="B290" s="6" t="s">
        <v>253</v>
      </c>
      <c r="C290" s="6" t="str">
        <f t="shared" si="63"/>
        <v>HC106 517</v>
      </c>
      <c r="D290" s="6" t="s">
        <v>252</v>
      </c>
      <c r="E290" s="20">
        <v>517</v>
      </c>
      <c r="F290" s="6" t="s">
        <v>161</v>
      </c>
      <c r="G290" s="6" t="s">
        <v>291</v>
      </c>
      <c r="H290" s="6" t="s">
        <v>977</v>
      </c>
      <c r="I290" s="6" t="s">
        <v>5</v>
      </c>
      <c r="J290" s="29"/>
      <c r="K290" s="8" t="str">
        <f t="shared" si="64"/>
        <v/>
      </c>
      <c r="L290" s="8" t="str">
        <f t="shared" si="65"/>
        <v/>
      </c>
      <c r="M290" s="8"/>
      <c r="N290" s="8"/>
      <c r="O290" s="8">
        <v>1.58</v>
      </c>
      <c r="P290" s="8">
        <f>0.92+0.906</f>
        <v>1.8260000000000001</v>
      </c>
      <c r="Q290" s="8">
        <v>1.7949999999999999</v>
      </c>
      <c r="R290" s="8">
        <f>0.969+1.053</f>
        <v>2.0219999999999998</v>
      </c>
      <c r="S290" s="8">
        <v>1.41</v>
      </c>
      <c r="T290" s="8">
        <v>1.4590000000000001</v>
      </c>
      <c r="U290" s="8"/>
      <c r="V290" s="8">
        <f t="shared" si="70"/>
        <v>1.1556962025316455</v>
      </c>
      <c r="W290" s="8">
        <f t="shared" si="72"/>
        <v>1.1264623955431754</v>
      </c>
      <c r="X290" s="8">
        <f t="shared" si="71"/>
        <v>1.0347517730496456</v>
      </c>
      <c r="Y290" s="31">
        <f t="shared" si="67"/>
        <v>-4.3612481541461454E-2</v>
      </c>
      <c r="Z290" s="31">
        <f t="shared" si="68"/>
        <v>-4.3612481541461454E-2</v>
      </c>
      <c r="AA290" s="31" t="str">
        <f t="shared" si="69"/>
        <v/>
      </c>
    </row>
    <row r="291" spans="1:27" x14ac:dyDescent="0.25">
      <c r="A291" s="6" t="str">
        <f t="shared" si="62"/>
        <v>fragment</v>
      </c>
      <c r="B291" s="6" t="s">
        <v>253</v>
      </c>
      <c r="C291" s="6" t="str">
        <f t="shared" si="63"/>
        <v>HC106 517</v>
      </c>
      <c r="D291" s="6" t="s">
        <v>252</v>
      </c>
      <c r="E291" s="20">
        <v>517</v>
      </c>
      <c r="F291" s="6" t="s">
        <v>161</v>
      </c>
      <c r="G291" s="6" t="s">
        <v>292</v>
      </c>
      <c r="H291" s="6" t="s">
        <v>977</v>
      </c>
      <c r="I291" s="6" t="s">
        <v>5</v>
      </c>
      <c r="J291" s="29"/>
      <c r="K291" s="8" t="str">
        <f t="shared" si="64"/>
        <v/>
      </c>
      <c r="L291" s="8" t="str">
        <f t="shared" si="65"/>
        <v/>
      </c>
      <c r="M291" s="8"/>
      <c r="N291" s="8"/>
      <c r="O291" s="8">
        <v>0.93400000000000005</v>
      </c>
      <c r="P291" s="8">
        <f>0.531+0.561+0.41</f>
        <v>1.502</v>
      </c>
      <c r="Q291" s="8">
        <v>0.45500000000000002</v>
      </c>
      <c r="R291" s="8">
        <f>0.41+0.421</f>
        <v>0.83099999999999996</v>
      </c>
      <c r="S291" s="8">
        <v>1.5009999999999999</v>
      </c>
      <c r="T291" s="8">
        <f>1.078+0.823</f>
        <v>1.901</v>
      </c>
      <c r="U291" s="8"/>
      <c r="V291" s="8">
        <f t="shared" si="70"/>
        <v>1.60813704496788</v>
      </c>
      <c r="W291" s="8">
        <f t="shared" si="72"/>
        <v>1.8263736263736263</v>
      </c>
      <c r="X291" s="8">
        <f t="shared" si="71"/>
        <v>1.2664890073284478</v>
      </c>
      <c r="Y291" s="31">
        <f t="shared" si="67"/>
        <v>-0.19506896678301891</v>
      </c>
      <c r="Z291" s="31">
        <f t="shared" si="68"/>
        <v>-0.19506896678301891</v>
      </c>
      <c r="AA291" s="31" t="str">
        <f t="shared" si="69"/>
        <v/>
      </c>
    </row>
    <row r="292" spans="1:27" x14ac:dyDescent="0.25">
      <c r="A292" s="6" t="str">
        <f t="shared" si="62"/>
        <v>fragment</v>
      </c>
      <c r="B292" s="6" t="s">
        <v>253</v>
      </c>
      <c r="C292" s="6" t="str">
        <f t="shared" si="63"/>
        <v>HC106 517</v>
      </c>
      <c r="D292" s="6" t="s">
        <v>252</v>
      </c>
      <c r="E292" s="20">
        <v>517</v>
      </c>
      <c r="F292" s="6" t="s">
        <v>161</v>
      </c>
      <c r="G292" s="6" t="s">
        <v>293</v>
      </c>
      <c r="H292" s="6" t="s">
        <v>977</v>
      </c>
      <c r="I292" s="6" t="s">
        <v>5</v>
      </c>
      <c r="J292" s="29"/>
      <c r="K292" s="8" t="str">
        <f t="shared" si="64"/>
        <v/>
      </c>
      <c r="L292" s="8" t="str">
        <f t="shared" si="65"/>
        <v/>
      </c>
      <c r="M292" s="8"/>
      <c r="N292" s="8"/>
      <c r="O292" s="8">
        <v>6.5890000000000004</v>
      </c>
      <c r="P292" s="8">
        <f>3.185+2.272</f>
        <v>5.4569999999999999</v>
      </c>
      <c r="Q292" s="8">
        <v>2.7989999999999999</v>
      </c>
      <c r="R292" s="8">
        <f>0.76+0.997+1.086</f>
        <v>2.843</v>
      </c>
      <c r="S292" s="8">
        <v>9.1120000000000001</v>
      </c>
      <c r="T292" s="8">
        <f>4.176+1.873</f>
        <v>6.0490000000000004</v>
      </c>
      <c r="U292" s="8"/>
      <c r="V292" s="8">
        <f t="shared" si="70"/>
        <v>0.82819851267263611</v>
      </c>
      <c r="W292" s="8">
        <f t="shared" si="72"/>
        <v>1.0157198999642729</v>
      </c>
      <c r="X292" s="8">
        <f t="shared" si="71"/>
        <v>0.66384986830553117</v>
      </c>
      <c r="Y292" s="31">
        <f t="shared" si="67"/>
        <v>7.7833849736915525E-2</v>
      </c>
      <c r="Z292" s="31">
        <f t="shared" si="68"/>
        <v>7.7833849736915525E-2</v>
      </c>
      <c r="AA292" s="31" t="str">
        <f t="shared" si="69"/>
        <v/>
      </c>
    </row>
    <row r="293" spans="1:27" x14ac:dyDescent="0.25">
      <c r="A293" s="6" t="str">
        <f t="shared" si="62"/>
        <v>fragment</v>
      </c>
      <c r="B293" s="6" t="s">
        <v>253</v>
      </c>
      <c r="C293" s="6" t="str">
        <f t="shared" si="63"/>
        <v>HC106 517</v>
      </c>
      <c r="D293" s="6" t="s">
        <v>252</v>
      </c>
      <c r="E293" s="20">
        <v>517</v>
      </c>
      <c r="F293" s="6" t="s">
        <v>161</v>
      </c>
      <c r="G293" s="6" t="s">
        <v>294</v>
      </c>
      <c r="H293" s="6" t="s">
        <v>977</v>
      </c>
      <c r="I293" s="6" t="s">
        <v>5</v>
      </c>
      <c r="J293" s="29"/>
      <c r="K293" s="8" t="str">
        <f t="shared" si="64"/>
        <v/>
      </c>
      <c r="L293" s="8" t="str">
        <f t="shared" si="65"/>
        <v/>
      </c>
      <c r="M293" s="8"/>
      <c r="N293" s="8"/>
      <c r="O293" s="8">
        <v>3.302</v>
      </c>
      <c r="P293" s="8">
        <f>1.421+1.228</f>
        <v>2.649</v>
      </c>
      <c r="Q293" s="8">
        <v>4.6180000000000003</v>
      </c>
      <c r="R293" s="8">
        <f>1.376+1.948+0.919</f>
        <v>4.2430000000000003</v>
      </c>
      <c r="S293" s="8">
        <v>5.4059999999999997</v>
      </c>
      <c r="T293" s="8">
        <f>1.771+2.324+0.878</f>
        <v>4.9729999999999999</v>
      </c>
      <c r="U293" s="8"/>
      <c r="V293" s="8">
        <f t="shared" si="70"/>
        <v>0.80224106602059353</v>
      </c>
      <c r="W293" s="8">
        <f t="shared" si="72"/>
        <v>0.91879601559116497</v>
      </c>
      <c r="X293" s="8">
        <f t="shared" si="71"/>
        <v>0.91990381058083615</v>
      </c>
      <c r="Y293" s="31">
        <f t="shared" si="67"/>
        <v>5.5362573498296111E-2</v>
      </c>
      <c r="Z293" s="31">
        <f t="shared" si="68"/>
        <v>5.5362573498296111E-2</v>
      </c>
      <c r="AA293" s="31" t="str">
        <f t="shared" si="69"/>
        <v/>
      </c>
    </row>
    <row r="294" spans="1:27" x14ac:dyDescent="0.25">
      <c r="A294" s="6" t="str">
        <f t="shared" si="62"/>
        <v>complete</v>
      </c>
      <c r="B294" s="6" t="s">
        <v>253</v>
      </c>
      <c r="C294" s="6" t="str">
        <f t="shared" si="63"/>
        <v>HC106 517</v>
      </c>
      <c r="D294" s="6" t="s">
        <v>252</v>
      </c>
      <c r="E294" s="20">
        <v>517</v>
      </c>
      <c r="F294" s="6" t="s">
        <v>161</v>
      </c>
      <c r="G294" s="6" t="s">
        <v>295</v>
      </c>
      <c r="H294" s="6" t="s">
        <v>977</v>
      </c>
      <c r="I294" s="6" t="s">
        <v>5</v>
      </c>
      <c r="J294" s="29">
        <v>26.930679999999999</v>
      </c>
      <c r="K294" s="8">
        <f t="shared" si="64"/>
        <v>1.4302473194909475</v>
      </c>
      <c r="L294" s="8">
        <f t="shared" si="65"/>
        <v>7.8984363431426399</v>
      </c>
      <c r="M294" s="8"/>
      <c r="N294" s="8"/>
      <c r="O294" s="8">
        <v>2.581</v>
      </c>
      <c r="P294" s="8">
        <f>1.018+1.612</f>
        <v>2.63</v>
      </c>
      <c r="Q294" s="8"/>
      <c r="R294" s="8"/>
      <c r="S294" s="8">
        <v>3.8479999999999999</v>
      </c>
      <c r="T294" s="8">
        <f>1.462+2.248+0.735</f>
        <v>4.4450000000000003</v>
      </c>
      <c r="U294" s="8"/>
      <c r="V294" s="8">
        <f t="shared" si="70"/>
        <v>1.018984889577683</v>
      </c>
      <c r="W294" s="8"/>
      <c r="X294" s="8">
        <f t="shared" si="71"/>
        <v>1.1551455301455302</v>
      </c>
      <c r="Y294" s="31">
        <f t="shared" si="67"/>
        <v>-3.6255596923110547E-2</v>
      </c>
      <c r="Z294" s="31" t="str">
        <f t="shared" si="68"/>
        <v/>
      </c>
      <c r="AA294" s="31">
        <f t="shared" si="69"/>
        <v>-3.6255596923110547E-2</v>
      </c>
    </row>
    <row r="295" spans="1:27" x14ac:dyDescent="0.25">
      <c r="A295" s="6" t="str">
        <f t="shared" si="62"/>
        <v>fragment</v>
      </c>
      <c r="B295" s="6" t="s">
        <v>253</v>
      </c>
      <c r="C295" s="6" t="str">
        <f t="shared" si="63"/>
        <v>HC106 517</v>
      </c>
      <c r="D295" s="6" t="s">
        <v>252</v>
      </c>
      <c r="E295" s="20">
        <v>517</v>
      </c>
      <c r="F295" s="6" t="s">
        <v>161</v>
      </c>
      <c r="G295" s="6" t="s">
        <v>296</v>
      </c>
      <c r="H295" s="6" t="s">
        <v>977</v>
      </c>
      <c r="I295" s="6" t="s">
        <v>5</v>
      </c>
      <c r="J295" s="29"/>
      <c r="K295" s="8" t="str">
        <f t="shared" si="64"/>
        <v/>
      </c>
      <c r="L295" s="8" t="str">
        <f t="shared" si="65"/>
        <v/>
      </c>
      <c r="M295" s="8"/>
      <c r="N295" s="8"/>
      <c r="O295" s="8"/>
      <c r="P295" s="8"/>
      <c r="Q295" s="8">
        <v>1.417</v>
      </c>
      <c r="R295" s="8">
        <f>1.072+1.024</f>
        <v>2.0960000000000001</v>
      </c>
      <c r="S295" s="8">
        <v>1.994</v>
      </c>
      <c r="T295" s="8">
        <f>1.734+1.188</f>
        <v>2.9219999999999997</v>
      </c>
      <c r="U295" s="8"/>
      <c r="V295" s="8"/>
      <c r="W295" s="8">
        <f>R295/Q295</f>
        <v>1.4791813690896261</v>
      </c>
      <c r="X295" s="8">
        <f t="shared" si="71"/>
        <v>1.465396188565697</v>
      </c>
      <c r="Y295" s="31">
        <f t="shared" si="67"/>
        <v>-0.16799300208769655</v>
      </c>
      <c r="Z295" s="31">
        <f t="shared" si="68"/>
        <v>-0.16799300208769655</v>
      </c>
      <c r="AA295" s="31" t="str">
        <f t="shared" si="69"/>
        <v/>
      </c>
    </row>
    <row r="296" spans="1:27" x14ac:dyDescent="0.25">
      <c r="A296" s="6" t="str">
        <f t="shared" si="62"/>
        <v>fragment</v>
      </c>
      <c r="B296" s="6" t="s">
        <v>253</v>
      </c>
      <c r="C296" s="6" t="str">
        <f t="shared" si="63"/>
        <v>HC106 517</v>
      </c>
      <c r="D296" s="6" t="s">
        <v>252</v>
      </c>
      <c r="E296" s="20">
        <v>517</v>
      </c>
      <c r="F296" s="6" t="s">
        <v>161</v>
      </c>
      <c r="G296" s="6" t="s">
        <v>297</v>
      </c>
      <c r="H296" s="6" t="s">
        <v>977</v>
      </c>
      <c r="I296" s="6" t="s">
        <v>5</v>
      </c>
      <c r="J296" s="29"/>
      <c r="K296" s="8" t="str">
        <f t="shared" si="64"/>
        <v/>
      </c>
      <c r="L296" s="8" t="str">
        <f t="shared" si="65"/>
        <v/>
      </c>
      <c r="M296" s="8"/>
      <c r="N296" s="8"/>
      <c r="O296" s="8">
        <v>1.206</v>
      </c>
      <c r="P296" s="8">
        <f>1.038+0.478</f>
        <v>1.516</v>
      </c>
      <c r="Q296" s="8">
        <v>0.40900000000000003</v>
      </c>
      <c r="R296" s="8">
        <v>0.44500000000000001</v>
      </c>
      <c r="S296" s="8"/>
      <c r="T296" s="8"/>
      <c r="U296" s="8"/>
      <c r="V296" s="8">
        <f t="shared" ref="V296:V301" si="73">P296/O296</f>
        <v>1.2570480928689884</v>
      </c>
      <c r="W296" s="8">
        <f>R296/Q296</f>
        <v>1.0880195599022005</v>
      </c>
      <c r="X296" s="8"/>
      <c r="Y296" s="31">
        <f t="shared" si="67"/>
        <v>-6.9125380513517354E-2</v>
      </c>
      <c r="Z296" s="31">
        <f t="shared" si="68"/>
        <v>-6.9125380513517354E-2</v>
      </c>
      <c r="AA296" s="31" t="str">
        <f t="shared" si="69"/>
        <v/>
      </c>
    </row>
    <row r="297" spans="1:27" x14ac:dyDescent="0.25">
      <c r="A297" s="6" t="str">
        <f t="shared" si="62"/>
        <v>complete</v>
      </c>
      <c r="B297" s="6" t="s">
        <v>253</v>
      </c>
      <c r="C297" s="6" t="str">
        <f t="shared" si="63"/>
        <v>HC106 569</v>
      </c>
      <c r="D297" s="6" t="s">
        <v>252</v>
      </c>
      <c r="E297" s="20">
        <v>569</v>
      </c>
      <c r="F297" s="6" t="s">
        <v>276</v>
      </c>
      <c r="G297" s="6" t="s">
        <v>277</v>
      </c>
      <c r="H297" s="6" t="s">
        <v>977</v>
      </c>
      <c r="I297" s="6" t="s">
        <v>5</v>
      </c>
      <c r="J297" s="29">
        <v>26.041509999999999</v>
      </c>
      <c r="K297" s="8">
        <f t="shared" si="64"/>
        <v>1.415666162909007</v>
      </c>
      <c r="L297" s="8">
        <f t="shared" si="65"/>
        <v>7.8648619893584506</v>
      </c>
      <c r="M297" s="8">
        <v>1.925</v>
      </c>
      <c r="N297" s="8">
        <f>0.98+1.803+0.258+0.671</f>
        <v>3.7119999999999997</v>
      </c>
      <c r="O297" s="8">
        <v>1.18</v>
      </c>
      <c r="P297" s="8">
        <f>0.348+0.716+0.674+0.483</f>
        <v>2.2210000000000001</v>
      </c>
      <c r="Q297" s="8">
        <v>1.0609999999999999</v>
      </c>
      <c r="R297" s="8">
        <f>0.567+0.618+0.657+0.528</f>
        <v>2.37</v>
      </c>
      <c r="S297" s="8">
        <v>1.645</v>
      </c>
      <c r="T297" s="8">
        <f>1.41+1.258+0.211</f>
        <v>2.879</v>
      </c>
      <c r="U297" s="8">
        <f>N297/M297</f>
        <v>1.9283116883116882</v>
      </c>
      <c r="V297" s="8">
        <f t="shared" si="73"/>
        <v>1.8822033898305086</v>
      </c>
      <c r="W297" s="8">
        <f>R297/Q297</f>
        <v>2.233741753063148</v>
      </c>
      <c r="X297" s="8">
        <f>T297/S297</f>
        <v>1.7501519756838906</v>
      </c>
      <c r="Y297" s="31">
        <f t="shared" si="67"/>
        <v>-0.28972318892267063</v>
      </c>
      <c r="Z297" s="31" t="str">
        <f t="shared" si="68"/>
        <v/>
      </c>
      <c r="AA297" s="31">
        <f t="shared" si="69"/>
        <v>-0.28972318892267063</v>
      </c>
    </row>
    <row r="298" spans="1:27" x14ac:dyDescent="0.25">
      <c r="A298" s="6" t="str">
        <f t="shared" si="62"/>
        <v>complete</v>
      </c>
      <c r="B298" s="6" t="s">
        <v>253</v>
      </c>
      <c r="C298" s="6" t="str">
        <f t="shared" si="63"/>
        <v>HC106 569</v>
      </c>
      <c r="D298" s="6" t="s">
        <v>252</v>
      </c>
      <c r="E298" s="20">
        <v>569</v>
      </c>
      <c r="F298" s="6" t="s">
        <v>276</v>
      </c>
      <c r="G298" s="6" t="s">
        <v>278</v>
      </c>
      <c r="H298" s="6" t="s">
        <v>977</v>
      </c>
      <c r="I298" s="6" t="s">
        <v>5</v>
      </c>
      <c r="J298" s="29">
        <v>21.986999999999998</v>
      </c>
      <c r="K298" s="8">
        <f t="shared" si="64"/>
        <v>1.3421659764127616</v>
      </c>
      <c r="L298" s="8">
        <f t="shared" si="65"/>
        <v>7.6956215555999137</v>
      </c>
      <c r="M298" s="8">
        <v>1.4350000000000001</v>
      </c>
      <c r="N298" s="8">
        <f>1.034+1.438+0.605</f>
        <v>3.077</v>
      </c>
      <c r="O298" s="8">
        <v>1.552</v>
      </c>
      <c r="P298" s="8">
        <f>1.71+0.661</f>
        <v>2.371</v>
      </c>
      <c r="Q298" s="8"/>
      <c r="R298" s="8"/>
      <c r="S298" s="8">
        <v>1.7850000000000001</v>
      </c>
      <c r="T298" s="8">
        <f>1.578+1.269</f>
        <v>2.847</v>
      </c>
      <c r="U298" s="8">
        <f>N298/M298</f>
        <v>2.1442508710801391</v>
      </c>
      <c r="V298" s="8">
        <f t="shared" si="73"/>
        <v>1.5277061855670102</v>
      </c>
      <c r="W298" s="8"/>
      <c r="X298" s="8">
        <f>T298/S298</f>
        <v>1.5949579831932772</v>
      </c>
      <c r="Y298" s="31">
        <f t="shared" si="67"/>
        <v>-0.24443505812688615</v>
      </c>
      <c r="Z298" s="31" t="str">
        <f t="shared" si="68"/>
        <v/>
      </c>
      <c r="AA298" s="31">
        <f t="shared" si="69"/>
        <v>-0.24443505812688615</v>
      </c>
    </row>
    <row r="299" spans="1:27" x14ac:dyDescent="0.25">
      <c r="A299" s="6" t="str">
        <f t="shared" si="62"/>
        <v>complete</v>
      </c>
      <c r="B299" s="6" t="s">
        <v>253</v>
      </c>
      <c r="C299" s="6" t="str">
        <f t="shared" si="63"/>
        <v>HC106 569</v>
      </c>
      <c r="D299" s="6" t="s">
        <v>252</v>
      </c>
      <c r="E299" s="20">
        <v>569</v>
      </c>
      <c r="F299" s="6" t="s">
        <v>276</v>
      </c>
      <c r="G299" s="6" t="s">
        <v>279</v>
      </c>
      <c r="H299" s="6" t="s">
        <v>977</v>
      </c>
      <c r="I299" s="6" t="s">
        <v>5</v>
      </c>
      <c r="J299" s="29">
        <v>29.983329999999999</v>
      </c>
      <c r="K299" s="8">
        <f t="shared" si="64"/>
        <v>1.4768798646801393</v>
      </c>
      <c r="L299" s="8">
        <f t="shared" si="65"/>
        <v>8.0058117465436442</v>
      </c>
      <c r="M299" s="8">
        <v>0.85599999999999998</v>
      </c>
      <c r="N299" s="8">
        <f>0.447+0.938+0.706</f>
        <v>2.0910000000000002</v>
      </c>
      <c r="O299" s="8">
        <v>2.3250000000000002</v>
      </c>
      <c r="P299" s="8">
        <f>0.442+1.791+1.578</f>
        <v>3.8109999999999999</v>
      </c>
      <c r="Q299" s="8">
        <v>1.18</v>
      </c>
      <c r="R299" s="8">
        <f>0.635+0.756+0.721</f>
        <v>2.1120000000000001</v>
      </c>
      <c r="S299" s="8">
        <v>1.4390000000000001</v>
      </c>
      <c r="T299" s="8">
        <f>0.919+1.024</f>
        <v>1.9430000000000001</v>
      </c>
      <c r="U299" s="8">
        <f>N299/M299</f>
        <v>2.4427570093457946</v>
      </c>
      <c r="V299" s="8">
        <f t="shared" si="73"/>
        <v>1.6391397849462364</v>
      </c>
      <c r="W299" s="8">
        <f>R299/Q299</f>
        <v>1.7898305084745765</v>
      </c>
      <c r="X299" s="8">
        <f>T299/S299</f>
        <v>1.3502432244614315</v>
      </c>
      <c r="Y299" s="31">
        <f t="shared" si="67"/>
        <v>-0.25659572041607898</v>
      </c>
      <c r="Z299" s="31" t="str">
        <f t="shared" si="68"/>
        <v/>
      </c>
      <c r="AA299" s="31">
        <f t="shared" si="69"/>
        <v>-0.25659572041607898</v>
      </c>
    </row>
    <row r="300" spans="1:27" x14ac:dyDescent="0.25">
      <c r="A300" s="6" t="str">
        <f t="shared" si="62"/>
        <v>complete</v>
      </c>
      <c r="B300" s="6" t="s">
        <v>253</v>
      </c>
      <c r="C300" s="6" t="str">
        <f t="shared" si="63"/>
        <v>HC106 569</v>
      </c>
      <c r="D300" s="6" t="s">
        <v>252</v>
      </c>
      <c r="E300" s="20">
        <v>569</v>
      </c>
      <c r="F300" s="6" t="s">
        <v>276</v>
      </c>
      <c r="G300" s="6" t="s">
        <v>280</v>
      </c>
      <c r="H300" s="6" t="s">
        <v>977</v>
      </c>
      <c r="I300" s="6" t="s">
        <v>5</v>
      </c>
      <c r="J300" s="29">
        <v>28.053000000000001</v>
      </c>
      <c r="K300" s="8">
        <f t="shared" si="64"/>
        <v>1.4479793117161648</v>
      </c>
      <c r="L300" s="8">
        <f t="shared" si="65"/>
        <v>7.9392657641095106</v>
      </c>
      <c r="M300" s="8">
        <v>0.878</v>
      </c>
      <c r="N300" s="8">
        <f>0.376+1.113+0.443</f>
        <v>1.9319999999999999</v>
      </c>
      <c r="O300" s="8">
        <v>2.6859999999999999</v>
      </c>
      <c r="P300" s="8">
        <f>0.949+2.488+0.532</f>
        <v>3.9689999999999999</v>
      </c>
      <c r="Q300" s="8">
        <v>0.85799999999999998</v>
      </c>
      <c r="R300" s="8">
        <f>0.588+0.593+0.432</f>
        <v>1.613</v>
      </c>
      <c r="S300" s="8">
        <v>2.7669999999999999</v>
      </c>
      <c r="T300" s="8">
        <f>1.824+1.266</f>
        <v>3.09</v>
      </c>
      <c r="U300" s="8">
        <f>N300/M300</f>
        <v>2.2004555808656034</v>
      </c>
      <c r="V300" s="8">
        <f t="shared" si="73"/>
        <v>1.4776619508562918</v>
      </c>
      <c r="W300" s="8">
        <f>R300/Q300</f>
        <v>1.8799533799533801</v>
      </c>
      <c r="X300" s="8">
        <f>T300/S300</f>
        <v>1.1167329237441272</v>
      </c>
      <c r="Y300" s="31">
        <f t="shared" si="67"/>
        <v>-0.22237851549565424</v>
      </c>
      <c r="Z300" s="31" t="str">
        <f t="shared" si="68"/>
        <v/>
      </c>
      <c r="AA300" s="31">
        <f t="shared" si="69"/>
        <v>-0.22237851549565424</v>
      </c>
    </row>
    <row r="301" spans="1:27" x14ac:dyDescent="0.25">
      <c r="A301" s="6" t="str">
        <f t="shared" si="62"/>
        <v>complete</v>
      </c>
      <c r="B301" s="6" t="s">
        <v>253</v>
      </c>
      <c r="C301" s="6" t="str">
        <f t="shared" si="63"/>
        <v>HC106 569</v>
      </c>
      <c r="D301" s="6" t="s">
        <v>252</v>
      </c>
      <c r="E301" s="20">
        <v>569</v>
      </c>
      <c r="F301" s="6" t="s">
        <v>276</v>
      </c>
      <c r="G301" s="6" t="s">
        <v>281</v>
      </c>
      <c r="H301" s="6" t="s">
        <v>977</v>
      </c>
      <c r="I301" s="6" t="s">
        <v>5</v>
      </c>
      <c r="J301" s="29">
        <v>49.483460000000001</v>
      </c>
      <c r="K301" s="8">
        <f t="shared" si="64"/>
        <v>1.6944600589112351</v>
      </c>
      <c r="L301" s="8">
        <f t="shared" si="65"/>
        <v>8.5068086583109128</v>
      </c>
      <c r="M301" s="8">
        <v>4.1749999999999998</v>
      </c>
      <c r="N301" s="8">
        <f>2.21+1.487</f>
        <v>3.6970000000000001</v>
      </c>
      <c r="O301" s="8">
        <v>5.3339999999999996</v>
      </c>
      <c r="P301" s="8">
        <f>2.64+1.937</f>
        <v>4.577</v>
      </c>
      <c r="Q301" s="8">
        <v>0.90200000000000002</v>
      </c>
      <c r="R301" s="8">
        <f>0.577+0.621</f>
        <v>1.198</v>
      </c>
      <c r="S301" s="8"/>
      <c r="T301" s="8"/>
      <c r="U301" s="8">
        <f>N301/M301</f>
        <v>0.8855089820359282</v>
      </c>
      <c r="V301" s="8">
        <f t="shared" si="73"/>
        <v>0.85808023997000382</v>
      </c>
      <c r="W301" s="8">
        <f>R301/Q301</f>
        <v>1.3281596452328159</v>
      </c>
      <c r="X301" s="8"/>
      <c r="Y301" s="31">
        <f t="shared" si="67"/>
        <v>-1.0264452072534035E-2</v>
      </c>
      <c r="Z301" s="31" t="str">
        <f t="shared" si="68"/>
        <v/>
      </c>
      <c r="AA301" s="31">
        <f t="shared" si="69"/>
        <v>-1.0264452072534035E-2</v>
      </c>
    </row>
    <row r="302" spans="1:27" x14ac:dyDescent="0.25">
      <c r="A302" s="6" t="str">
        <f t="shared" si="62"/>
        <v>complete</v>
      </c>
      <c r="B302" s="6" t="s">
        <v>253</v>
      </c>
      <c r="C302" s="6" t="str">
        <f t="shared" si="63"/>
        <v>HC106 569</v>
      </c>
      <c r="D302" s="6" t="s">
        <v>252</v>
      </c>
      <c r="E302" s="20">
        <v>569</v>
      </c>
      <c r="F302" s="6" t="s">
        <v>276</v>
      </c>
      <c r="G302" s="6" t="s">
        <v>282</v>
      </c>
      <c r="H302" s="6" t="s">
        <v>977</v>
      </c>
      <c r="I302" s="6" t="s">
        <v>5</v>
      </c>
      <c r="J302" s="29">
        <f>14.561*2</f>
        <v>29.122</v>
      </c>
      <c r="K302" s="8">
        <f t="shared" si="64"/>
        <v>1.4642211975344492</v>
      </c>
      <c r="L302" s="8">
        <f t="shared" si="65"/>
        <v>7.9766640882768041</v>
      </c>
      <c r="M302" s="8"/>
      <c r="N302" s="8"/>
      <c r="O302" s="8"/>
      <c r="P302" s="8"/>
      <c r="Q302" s="8">
        <v>0.74299999999999999</v>
      </c>
      <c r="R302" s="8">
        <f>0.523+0.526+0.523</f>
        <v>1.5720000000000001</v>
      </c>
      <c r="S302" s="8">
        <v>3.97</v>
      </c>
      <c r="T302" s="8">
        <f>0.723+1.739+1.872+1.63</f>
        <v>5.9640000000000004</v>
      </c>
      <c r="U302" s="8"/>
      <c r="V302" s="8"/>
      <c r="W302" s="8">
        <f>R302/Q302</f>
        <v>2.1157469717362045</v>
      </c>
      <c r="X302" s="8">
        <f>T302/S302</f>
        <v>1.5022670025188918</v>
      </c>
      <c r="Y302" s="31">
        <f t="shared" si="67"/>
        <v>-0.25744024428661216</v>
      </c>
      <c r="Z302" s="31" t="str">
        <f t="shared" si="68"/>
        <v/>
      </c>
      <c r="AA302" s="31">
        <f t="shared" si="69"/>
        <v>-0.25744024428661216</v>
      </c>
    </row>
    <row r="303" spans="1:27" x14ac:dyDescent="0.25">
      <c r="A303" s="6" t="str">
        <f t="shared" si="62"/>
        <v>complete</v>
      </c>
      <c r="B303" s="6" t="s">
        <v>253</v>
      </c>
      <c r="C303" s="6" t="str">
        <f t="shared" si="63"/>
        <v>HC106 569</v>
      </c>
      <c r="D303" s="6" t="s">
        <v>252</v>
      </c>
      <c r="E303" s="20">
        <v>569</v>
      </c>
      <c r="F303" s="6" t="s">
        <v>276</v>
      </c>
      <c r="G303" s="6" t="s">
        <v>283</v>
      </c>
      <c r="H303" s="6" t="s">
        <v>977</v>
      </c>
      <c r="I303" s="6" t="s">
        <v>5</v>
      </c>
      <c r="J303" s="29">
        <v>31.779</v>
      </c>
      <c r="K303" s="8">
        <f t="shared" si="64"/>
        <v>1.502140227002422</v>
      </c>
      <c r="L303" s="8">
        <f t="shared" si="65"/>
        <v>8.0639758802705597</v>
      </c>
      <c r="M303" s="8">
        <v>3.6680000000000001</v>
      </c>
      <c r="N303" s="8">
        <f>1.374+2.847+1.41</f>
        <v>5.6310000000000002</v>
      </c>
      <c r="O303" s="8">
        <v>1.087</v>
      </c>
      <c r="P303" s="8">
        <f>0.677+0.843+0.775+0.403</f>
        <v>2.698</v>
      </c>
      <c r="Q303" s="8"/>
      <c r="R303" s="8"/>
      <c r="S303" s="8"/>
      <c r="T303" s="8"/>
      <c r="U303" s="8">
        <f>N303/M303</f>
        <v>1.5351690294438387</v>
      </c>
      <c r="V303" s="8">
        <f t="shared" ref="V303:V308" si="74">P303/O303</f>
        <v>2.4820607175712972</v>
      </c>
      <c r="W303" s="8"/>
      <c r="X303" s="8"/>
      <c r="Y303" s="31">
        <f t="shared" si="67"/>
        <v>-0.30289667425730554</v>
      </c>
      <c r="Z303" s="31" t="str">
        <f t="shared" si="68"/>
        <v/>
      </c>
      <c r="AA303" s="31">
        <f t="shared" si="69"/>
        <v>-0.30289667425730554</v>
      </c>
    </row>
    <row r="304" spans="1:27" x14ac:dyDescent="0.25">
      <c r="A304" s="6" t="str">
        <f t="shared" si="62"/>
        <v>fragment</v>
      </c>
      <c r="B304" s="6" t="s">
        <v>253</v>
      </c>
      <c r="C304" s="6" t="str">
        <f t="shared" si="63"/>
        <v>HC106 569</v>
      </c>
      <c r="D304" s="6" t="s">
        <v>252</v>
      </c>
      <c r="E304" s="20">
        <v>569</v>
      </c>
      <c r="F304" s="6" t="s">
        <v>276</v>
      </c>
      <c r="G304" s="6" t="s">
        <v>284</v>
      </c>
      <c r="H304" s="6" t="s">
        <v>977</v>
      </c>
      <c r="I304" s="6" t="s">
        <v>5</v>
      </c>
      <c r="J304" s="29"/>
      <c r="K304" s="8" t="str">
        <f t="shared" si="64"/>
        <v/>
      </c>
      <c r="L304" s="8" t="str">
        <f t="shared" si="65"/>
        <v/>
      </c>
      <c r="M304" s="8"/>
      <c r="N304" s="8"/>
      <c r="O304" s="8">
        <v>3.3319999999999999</v>
      </c>
      <c r="P304" s="8">
        <f>1.303+1.698+0.688</f>
        <v>3.6890000000000001</v>
      </c>
      <c r="Q304" s="8"/>
      <c r="R304" s="8"/>
      <c r="S304" s="8">
        <v>3.8620000000000001</v>
      </c>
      <c r="T304" s="8">
        <f>2.088+1.829</f>
        <v>3.9169999999999998</v>
      </c>
      <c r="U304" s="8"/>
      <c r="V304" s="8">
        <f t="shared" si="74"/>
        <v>1.1071428571428572</v>
      </c>
      <c r="W304" s="8"/>
      <c r="X304" s="8">
        <f t="shared" ref="X304:X309" si="75">T304/S304</f>
        <v>1.0142413257379594</v>
      </c>
      <c r="Y304" s="31">
        <f t="shared" si="67"/>
        <v>-2.5589330747973406E-2</v>
      </c>
      <c r="Z304" s="31">
        <f t="shared" si="68"/>
        <v>-2.5589330747973406E-2</v>
      </c>
      <c r="AA304" s="31" t="str">
        <f t="shared" si="69"/>
        <v/>
      </c>
    </row>
    <row r="305" spans="1:27" x14ac:dyDescent="0.25">
      <c r="A305" s="6" t="str">
        <f t="shared" si="62"/>
        <v>complete</v>
      </c>
      <c r="B305" s="6" t="s">
        <v>253</v>
      </c>
      <c r="C305" s="6" t="str">
        <f t="shared" si="63"/>
        <v>HC106 569</v>
      </c>
      <c r="D305" s="6" t="s">
        <v>252</v>
      </c>
      <c r="E305" s="20">
        <v>569</v>
      </c>
      <c r="F305" s="6" t="s">
        <v>276</v>
      </c>
      <c r="G305" s="6" t="s">
        <v>302</v>
      </c>
      <c r="H305" s="6" t="s">
        <v>977</v>
      </c>
      <c r="I305" s="8" t="s">
        <v>5</v>
      </c>
      <c r="J305" s="29">
        <v>20.44097</v>
      </c>
      <c r="K305" s="8">
        <f t="shared" si="64"/>
        <v>1.3105015008389951</v>
      </c>
      <c r="L305" s="8">
        <f t="shared" si="65"/>
        <v>7.6227114061662853</v>
      </c>
      <c r="M305" s="8"/>
      <c r="N305" s="8"/>
      <c r="O305" s="8">
        <v>4.508</v>
      </c>
      <c r="P305" s="8">
        <f>1.208+1.642+1.771+1.164</f>
        <v>5.7849999999999993</v>
      </c>
      <c r="Q305" s="8"/>
      <c r="R305" s="8"/>
      <c r="S305" s="8">
        <v>9.9410000000000007</v>
      </c>
      <c r="T305" s="8">
        <f>1.576+4.067+3.273</f>
        <v>8.9160000000000004</v>
      </c>
      <c r="U305" s="8"/>
      <c r="V305" s="8">
        <f t="shared" si="74"/>
        <v>1.283274179236912</v>
      </c>
      <c r="W305" s="8"/>
      <c r="X305" s="8">
        <f t="shared" si="75"/>
        <v>0.89689166079871241</v>
      </c>
      <c r="Y305" s="31">
        <f t="shared" si="67"/>
        <v>-3.7459534946566724E-2</v>
      </c>
      <c r="Z305" s="31" t="str">
        <f t="shared" si="68"/>
        <v/>
      </c>
      <c r="AA305" s="31">
        <f t="shared" si="69"/>
        <v>-3.7459534946566724E-2</v>
      </c>
    </row>
    <row r="306" spans="1:27" x14ac:dyDescent="0.25">
      <c r="A306" s="6" t="str">
        <f t="shared" si="62"/>
        <v>complete</v>
      </c>
      <c r="B306" s="6" t="s">
        <v>253</v>
      </c>
      <c r="C306" s="6" t="str">
        <f t="shared" si="63"/>
        <v>HC106 571</v>
      </c>
      <c r="D306" s="6" t="s">
        <v>252</v>
      </c>
      <c r="E306" s="20">
        <v>571</v>
      </c>
      <c r="F306" s="6" t="s">
        <v>545</v>
      </c>
      <c r="G306" s="6" t="s">
        <v>301</v>
      </c>
      <c r="H306" s="6" t="s">
        <v>977</v>
      </c>
      <c r="I306" s="8" t="s">
        <v>5</v>
      </c>
      <c r="J306" s="29">
        <v>15.50264</v>
      </c>
      <c r="K306" s="8">
        <f t="shared" si="64"/>
        <v>1.1904056620285304</v>
      </c>
      <c r="L306" s="8">
        <f t="shared" si="65"/>
        <v>7.3461805179906934</v>
      </c>
      <c r="M306" s="8"/>
      <c r="N306" s="8"/>
      <c r="O306" s="8">
        <v>2.7080000000000002</v>
      </c>
      <c r="P306" s="8">
        <f>0.979+1.406+0.958</f>
        <v>3.343</v>
      </c>
      <c r="Q306" s="8"/>
      <c r="R306" s="8"/>
      <c r="S306" s="8">
        <v>8.7940000000000005</v>
      </c>
      <c r="T306" s="8">
        <f>2.232+4.492+2.046</f>
        <v>8.77</v>
      </c>
      <c r="U306" s="8"/>
      <c r="V306" s="8">
        <f t="shared" si="74"/>
        <v>1.234490398818316</v>
      </c>
      <c r="W306" s="8"/>
      <c r="X306" s="8">
        <f t="shared" si="75"/>
        <v>0.99727086649988617</v>
      </c>
      <c r="Y306" s="31">
        <f t="shared" si="67"/>
        <v>-4.7617739986772128E-2</v>
      </c>
      <c r="Z306" s="31" t="str">
        <f t="shared" si="68"/>
        <v/>
      </c>
      <c r="AA306" s="31">
        <f t="shared" si="69"/>
        <v>-4.7617739986772128E-2</v>
      </c>
    </row>
    <row r="307" spans="1:27" x14ac:dyDescent="0.25">
      <c r="A307" s="6" t="str">
        <f t="shared" si="62"/>
        <v>complete</v>
      </c>
      <c r="B307" s="6" t="s">
        <v>253</v>
      </c>
      <c r="C307" s="6" t="str">
        <f t="shared" si="63"/>
        <v>HC106 900</v>
      </c>
      <c r="D307" s="6" t="s">
        <v>252</v>
      </c>
      <c r="E307" s="20">
        <v>900</v>
      </c>
      <c r="F307" s="6" t="s">
        <v>180</v>
      </c>
      <c r="G307" s="6" t="s">
        <v>300</v>
      </c>
      <c r="H307" s="6" t="s">
        <v>977</v>
      </c>
      <c r="I307" s="8" t="s">
        <v>5</v>
      </c>
      <c r="J307" s="29">
        <v>138.94931</v>
      </c>
      <c r="K307" s="8">
        <f t="shared" si="64"/>
        <v>2.1428563944819654</v>
      </c>
      <c r="L307" s="8">
        <f t="shared" si="65"/>
        <v>9.5392793763492332</v>
      </c>
      <c r="M307" s="8"/>
      <c r="N307" s="8"/>
      <c r="O307" s="8">
        <v>8.7309999999999999</v>
      </c>
      <c r="P307" s="8">
        <f>2.48+2.236+1.772</f>
        <v>6.4880000000000004</v>
      </c>
      <c r="Q307" s="8"/>
      <c r="R307" s="8"/>
      <c r="S307" s="8">
        <v>11.589</v>
      </c>
      <c r="T307" s="8">
        <f>3.291+4.215</f>
        <v>7.5060000000000002</v>
      </c>
      <c r="U307" s="8"/>
      <c r="V307" s="8">
        <f t="shared" si="74"/>
        <v>0.74309930134005275</v>
      </c>
      <c r="W307" s="8"/>
      <c r="X307" s="8">
        <f t="shared" si="75"/>
        <v>0.64768314781258085</v>
      </c>
      <c r="Y307" s="31">
        <f t="shared" si="67"/>
        <v>0.15777079415625322</v>
      </c>
      <c r="Z307" s="31" t="str">
        <f t="shared" si="68"/>
        <v/>
      </c>
      <c r="AA307" s="31">
        <f t="shared" si="69"/>
        <v>0.15777079415625322</v>
      </c>
    </row>
    <row r="308" spans="1:27" x14ac:dyDescent="0.25">
      <c r="A308" s="6" t="str">
        <f t="shared" si="62"/>
        <v>complete</v>
      </c>
      <c r="B308" s="6" t="s">
        <v>253</v>
      </c>
      <c r="C308" s="6" t="str">
        <f t="shared" si="63"/>
        <v>HC106 906</v>
      </c>
      <c r="D308" s="6" t="s">
        <v>252</v>
      </c>
      <c r="E308" s="20">
        <v>906</v>
      </c>
      <c r="F308" s="6" t="s">
        <v>154</v>
      </c>
      <c r="G308" s="6" t="s">
        <v>258</v>
      </c>
      <c r="H308" s="6" t="s">
        <v>979</v>
      </c>
      <c r="I308" s="6" t="s">
        <v>5</v>
      </c>
      <c r="J308" s="29">
        <v>39.572000000000003</v>
      </c>
      <c r="K308" s="8">
        <f t="shared" si="64"/>
        <v>1.597388000405372</v>
      </c>
      <c r="L308" s="8">
        <f t="shared" si="65"/>
        <v>8.2832919834490681</v>
      </c>
      <c r="M308" s="8">
        <v>3.3010000000000002</v>
      </c>
      <c r="N308" s="8">
        <f>1.549+1.423</f>
        <v>2.972</v>
      </c>
      <c r="O308" s="8">
        <v>1.5470000000000002</v>
      </c>
      <c r="P308" s="8">
        <f>0.806+0.999+0.508</f>
        <v>2.3130000000000002</v>
      </c>
      <c r="Q308" s="8">
        <v>0.56600000000000006</v>
      </c>
      <c r="R308" s="8">
        <f>0.549+0.434</f>
        <v>0.9830000000000001</v>
      </c>
      <c r="S308" s="8">
        <v>5.44</v>
      </c>
      <c r="T308" s="8">
        <f>3.155+2.371</f>
        <v>5.5259999999999998</v>
      </c>
      <c r="U308" s="8">
        <f>N308/M308</f>
        <v>0.90033323235383211</v>
      </c>
      <c r="V308" s="8">
        <f t="shared" si="74"/>
        <v>1.4951519069166128</v>
      </c>
      <c r="W308" s="8">
        <f>R308/Q308</f>
        <v>1.7367491166077738</v>
      </c>
      <c r="X308" s="8">
        <f t="shared" si="75"/>
        <v>1.0158088235294116</v>
      </c>
      <c r="Y308" s="31">
        <f t="shared" si="67"/>
        <v>-0.1095821811450116</v>
      </c>
      <c r="Z308" s="31" t="str">
        <f t="shared" si="68"/>
        <v/>
      </c>
      <c r="AA308" s="31">
        <f t="shared" si="69"/>
        <v>-0.1095821811450116</v>
      </c>
    </row>
    <row r="309" spans="1:27" x14ac:dyDescent="0.25">
      <c r="A309" s="6" t="str">
        <f t="shared" si="62"/>
        <v>fragment</v>
      </c>
      <c r="B309" s="6" t="s">
        <v>304</v>
      </c>
      <c r="C309" s="6" t="str">
        <f t="shared" si="63"/>
        <v xml:space="preserve">HC111 </v>
      </c>
      <c r="D309" s="6" t="s">
        <v>303</v>
      </c>
      <c r="E309" s="20"/>
      <c r="F309" s="6" t="s">
        <v>154</v>
      </c>
      <c r="G309" s="6" t="s">
        <v>306</v>
      </c>
      <c r="I309" s="6" t="s">
        <v>20</v>
      </c>
      <c r="J309" s="29"/>
      <c r="K309" s="8" t="str">
        <f t="shared" si="64"/>
        <v/>
      </c>
      <c r="L309" s="8" t="str">
        <f t="shared" si="65"/>
        <v/>
      </c>
      <c r="M309" s="8">
        <v>2.2170000000000001</v>
      </c>
      <c r="N309" s="8">
        <f>0.792+1.47+0.324+0.682</f>
        <v>3.2679999999999998</v>
      </c>
      <c r="O309" s="8"/>
      <c r="P309" s="8"/>
      <c r="Q309" s="8"/>
      <c r="R309" s="8"/>
      <c r="S309" s="8">
        <v>1.9450000000000001</v>
      </c>
      <c r="T309" s="8">
        <f>0.576+1.053+0.771+0.146+0.596</f>
        <v>3.1419999999999999</v>
      </c>
      <c r="U309" s="8">
        <f>N309/M309</f>
        <v>1.4740640505187188</v>
      </c>
      <c r="V309" s="8"/>
      <c r="W309" s="8"/>
      <c r="X309" s="8">
        <f t="shared" si="75"/>
        <v>1.6154241645244214</v>
      </c>
      <c r="Y309" s="31">
        <f t="shared" si="67"/>
        <v>-0.1888565472588459</v>
      </c>
      <c r="Z309" s="31">
        <f t="shared" si="68"/>
        <v>-0.1888565472588459</v>
      </c>
      <c r="AA309" s="31" t="str">
        <f t="shared" si="69"/>
        <v/>
      </c>
    </row>
    <row r="310" spans="1:27" x14ac:dyDescent="0.25">
      <c r="A310" s="6" t="str">
        <f t="shared" si="62"/>
        <v>complete</v>
      </c>
      <c r="B310" s="6" t="s">
        <v>304</v>
      </c>
      <c r="C310" s="6" t="str">
        <f t="shared" si="63"/>
        <v>HC111 2099</v>
      </c>
      <c r="D310" s="6" t="s">
        <v>303</v>
      </c>
      <c r="E310" s="20">
        <v>2099</v>
      </c>
      <c r="G310" s="6" t="s">
        <v>309</v>
      </c>
      <c r="H310" s="6" t="s">
        <v>977</v>
      </c>
      <c r="I310" s="6" t="s">
        <v>20</v>
      </c>
      <c r="J310" s="29">
        <v>29.61177</v>
      </c>
      <c r="K310" s="8">
        <f t="shared" si="64"/>
        <v>1.4714643674790837</v>
      </c>
      <c r="L310" s="8">
        <f t="shared" si="65"/>
        <v>7.9933421034173415</v>
      </c>
      <c r="M310" s="8"/>
      <c r="N310" s="8"/>
      <c r="O310" s="8">
        <v>4.2889999999999997</v>
      </c>
      <c r="P310" s="8">
        <f>0.391+2.192+0.518+1.804</f>
        <v>4.9050000000000002</v>
      </c>
      <c r="Q310" s="8">
        <v>4.9269999999999996</v>
      </c>
      <c r="R310" s="8">
        <f>0.593+1.72+1.926+2.012+0.508</f>
        <v>6.7589999999999995</v>
      </c>
      <c r="S310" s="8"/>
      <c r="T310" s="8"/>
      <c r="U310" s="8"/>
      <c r="V310" s="8">
        <f t="shared" ref="V310:V328" si="76">P310/O310</f>
        <v>1.1436232221963163</v>
      </c>
      <c r="W310" s="8">
        <f>R310/Q310</f>
        <v>1.37182869900548</v>
      </c>
      <c r="X310" s="8"/>
      <c r="Y310" s="31">
        <f t="shared" si="67"/>
        <v>-9.9586025239963363E-2</v>
      </c>
      <c r="Z310" s="31" t="str">
        <f t="shared" si="68"/>
        <v/>
      </c>
      <c r="AA310" s="31">
        <f t="shared" si="69"/>
        <v>-9.9586025239963363E-2</v>
      </c>
    </row>
    <row r="311" spans="1:27" x14ac:dyDescent="0.25">
      <c r="A311" s="6" t="str">
        <f t="shared" si="62"/>
        <v>complete</v>
      </c>
      <c r="B311" s="6" t="s">
        <v>304</v>
      </c>
      <c r="C311" s="6" t="str">
        <f t="shared" si="63"/>
        <v>HC111 2099</v>
      </c>
      <c r="D311" s="6" t="s">
        <v>303</v>
      </c>
      <c r="E311" s="20">
        <v>2099</v>
      </c>
      <c r="G311" s="6" t="s">
        <v>310</v>
      </c>
      <c r="H311" s="6" t="s">
        <v>977</v>
      </c>
      <c r="I311" s="6" t="s">
        <v>20</v>
      </c>
      <c r="J311" s="29">
        <v>10.15104</v>
      </c>
      <c r="K311" s="8">
        <f t="shared" si="64"/>
        <v>1.0065105391086611</v>
      </c>
      <c r="L311" s="8">
        <f t="shared" si="65"/>
        <v>6.9227463492810948</v>
      </c>
      <c r="M311" s="8"/>
      <c r="N311" s="8"/>
      <c r="O311" s="8">
        <v>1.6879999999999999</v>
      </c>
      <c r="P311" s="8">
        <f>0.894+1.296+0.511</f>
        <v>2.7010000000000001</v>
      </c>
      <c r="Q311" s="8"/>
      <c r="R311" s="8"/>
      <c r="S311" s="8">
        <v>1.1419999999999999</v>
      </c>
      <c r="T311" s="8">
        <f>0.782+0.691</f>
        <v>1.4729999999999999</v>
      </c>
      <c r="U311" s="8"/>
      <c r="V311" s="8">
        <f t="shared" si="76"/>
        <v>1.6001184834123223</v>
      </c>
      <c r="W311" s="8"/>
      <c r="X311" s="8">
        <f>T311/S311</f>
        <v>1.2898423817863398</v>
      </c>
      <c r="Y311" s="31">
        <f t="shared" si="67"/>
        <v>-0.15986196607410724</v>
      </c>
      <c r="Z311" s="31" t="str">
        <f t="shared" si="68"/>
        <v/>
      </c>
      <c r="AA311" s="31">
        <f t="shared" si="69"/>
        <v>-0.15986196607410724</v>
      </c>
    </row>
    <row r="312" spans="1:27" x14ac:dyDescent="0.25">
      <c r="A312" s="6" t="str">
        <f t="shared" si="62"/>
        <v>complete</v>
      </c>
      <c r="B312" s="6" t="s">
        <v>304</v>
      </c>
      <c r="C312" s="6" t="str">
        <f t="shared" si="63"/>
        <v>HC111 2099</v>
      </c>
      <c r="D312" s="6" t="s">
        <v>303</v>
      </c>
      <c r="E312" s="20">
        <v>2099</v>
      </c>
      <c r="G312" s="6" t="s">
        <v>311</v>
      </c>
      <c r="H312" s="6" t="s">
        <v>977</v>
      </c>
      <c r="I312" s="8" t="s">
        <v>20</v>
      </c>
      <c r="J312" s="29">
        <v>15.179880000000001</v>
      </c>
      <c r="K312" s="8">
        <f t="shared" si="64"/>
        <v>1.1812683383879321</v>
      </c>
      <c r="L312" s="8">
        <f t="shared" si="65"/>
        <v>7.3251410527859893</v>
      </c>
      <c r="M312" s="8"/>
      <c r="N312" s="8"/>
      <c r="O312" s="8">
        <v>2.3849999999999998</v>
      </c>
      <c r="P312" s="8">
        <f>0.74+1.298+1.261+0.621</f>
        <v>3.9200000000000004</v>
      </c>
      <c r="Q312" s="8">
        <v>1.6850000000000001</v>
      </c>
      <c r="R312" s="8">
        <f>0.552+0.494+1.199+0.644</f>
        <v>2.8890000000000002</v>
      </c>
      <c r="S312" s="8"/>
      <c r="T312" s="8"/>
      <c r="U312" s="8"/>
      <c r="V312" s="8">
        <f t="shared" si="76"/>
        <v>1.6436058700209646</v>
      </c>
      <c r="W312" s="8">
        <f>R312/Q312</f>
        <v>1.7145400593471811</v>
      </c>
      <c r="X312" s="8"/>
      <c r="Y312" s="31">
        <f t="shared" si="67"/>
        <v>-0.22506956896184083</v>
      </c>
      <c r="Z312" s="31" t="str">
        <f t="shared" si="68"/>
        <v/>
      </c>
      <c r="AA312" s="31">
        <f t="shared" si="69"/>
        <v>-0.22506956896184083</v>
      </c>
    </row>
    <row r="313" spans="1:27" x14ac:dyDescent="0.25">
      <c r="A313" s="6" t="str">
        <f t="shared" si="62"/>
        <v>complete</v>
      </c>
      <c r="B313" s="6" t="s">
        <v>304</v>
      </c>
      <c r="C313" s="6" t="str">
        <f t="shared" si="63"/>
        <v>HC111 428</v>
      </c>
      <c r="D313" s="6" t="s">
        <v>303</v>
      </c>
      <c r="E313" s="20">
        <v>428</v>
      </c>
      <c r="F313" s="6" t="s">
        <v>154</v>
      </c>
      <c r="G313" s="6" t="s">
        <v>307</v>
      </c>
      <c r="H313" s="6" t="s">
        <v>979</v>
      </c>
      <c r="I313" s="6" t="s">
        <v>20</v>
      </c>
      <c r="J313" s="29">
        <v>17.48657</v>
      </c>
      <c r="K313" s="8">
        <f t="shared" si="64"/>
        <v>1.2427046307388685</v>
      </c>
      <c r="L313" s="8">
        <f t="shared" si="65"/>
        <v>7.4666033437220802</v>
      </c>
      <c r="M313" s="8"/>
      <c r="N313" s="8"/>
      <c r="O313" s="8">
        <v>2.871</v>
      </c>
      <c r="P313" s="8">
        <f>0.808+1.392+1.532+0.612</f>
        <v>4.3440000000000003</v>
      </c>
      <c r="Q313" s="8"/>
      <c r="R313" s="8"/>
      <c r="S313" s="8">
        <v>2.6720000000000002</v>
      </c>
      <c r="T313" s="8">
        <f>0.82+1.305+0.916</f>
        <v>3.0409999999999999</v>
      </c>
      <c r="U313" s="8"/>
      <c r="V313" s="8">
        <f t="shared" si="76"/>
        <v>1.5130616509926855</v>
      </c>
      <c r="W313" s="8"/>
      <c r="X313" s="8">
        <f>T313/S313</f>
        <v>1.1380988023952094</v>
      </c>
      <c r="Y313" s="31">
        <f t="shared" si="67"/>
        <v>-0.1224060172114045</v>
      </c>
      <c r="Z313" s="31" t="str">
        <f t="shared" si="68"/>
        <v/>
      </c>
      <c r="AA313" s="31">
        <f t="shared" si="69"/>
        <v>-0.1224060172114045</v>
      </c>
    </row>
    <row r="314" spans="1:27" x14ac:dyDescent="0.25">
      <c r="A314" s="6" t="str">
        <f t="shared" si="62"/>
        <v>complete</v>
      </c>
      <c r="B314" s="6" t="s">
        <v>304</v>
      </c>
      <c r="C314" s="6" t="str">
        <f t="shared" si="63"/>
        <v>HC111 428</v>
      </c>
      <c r="D314" s="6" t="s">
        <v>303</v>
      </c>
      <c r="E314" s="20">
        <v>428</v>
      </c>
      <c r="F314" s="6" t="s">
        <v>154</v>
      </c>
      <c r="G314" s="6" t="s">
        <v>308</v>
      </c>
      <c r="H314" s="6" t="s">
        <v>979</v>
      </c>
      <c r="I314" s="6" t="s">
        <v>20</v>
      </c>
      <c r="J314" s="29">
        <v>29.389389999999999</v>
      </c>
      <c r="K314" s="8">
        <f t="shared" si="64"/>
        <v>1.4681905720411987</v>
      </c>
      <c r="L314" s="8">
        <f t="shared" si="65"/>
        <v>7.985803910844556</v>
      </c>
      <c r="M314" s="8"/>
      <c r="N314" s="8"/>
      <c r="O314" s="8">
        <v>3.323</v>
      </c>
      <c r="P314" s="8">
        <f>1.247+1.7+1.2</f>
        <v>4.1470000000000002</v>
      </c>
      <c r="Q314" s="8">
        <v>2.13</v>
      </c>
      <c r="R314" s="8">
        <f>1.032+1.135+0.638</f>
        <v>2.8049999999999997</v>
      </c>
      <c r="S314" s="8"/>
      <c r="T314" s="8"/>
      <c r="U314" s="8"/>
      <c r="V314" s="8">
        <f t="shared" si="76"/>
        <v>1.2479687029792357</v>
      </c>
      <c r="W314" s="8">
        <f>R314/Q314</f>
        <v>1.3169014084507042</v>
      </c>
      <c r="X314" s="8"/>
      <c r="Y314" s="31">
        <f t="shared" si="67"/>
        <v>-0.10803538106745908</v>
      </c>
      <c r="Z314" s="31" t="str">
        <f t="shared" si="68"/>
        <v/>
      </c>
      <c r="AA314" s="31">
        <f t="shared" si="69"/>
        <v>-0.10803538106745908</v>
      </c>
    </row>
    <row r="315" spans="1:27" x14ac:dyDescent="0.25">
      <c r="A315" s="6" t="str">
        <f t="shared" si="62"/>
        <v>complete</v>
      </c>
      <c r="B315" s="6" t="s">
        <v>304</v>
      </c>
      <c r="C315" s="6" t="str">
        <f t="shared" si="63"/>
        <v>HC111 900</v>
      </c>
      <c r="D315" s="6" t="s">
        <v>303</v>
      </c>
      <c r="E315" s="20">
        <v>900</v>
      </c>
      <c r="F315" s="6" t="s">
        <v>180</v>
      </c>
      <c r="G315" s="6" t="s">
        <v>305</v>
      </c>
      <c r="H315" s="6" t="s">
        <v>977</v>
      </c>
      <c r="I315" s="6" t="s">
        <v>20</v>
      </c>
      <c r="J315" s="29">
        <v>10.21246</v>
      </c>
      <c r="K315" s="8">
        <f t="shared" si="64"/>
        <v>1.0091303685061221</v>
      </c>
      <c r="L315" s="8">
        <f t="shared" si="65"/>
        <v>6.9287787293978766</v>
      </c>
      <c r="M315" s="8"/>
      <c r="N315" s="8"/>
      <c r="O315" s="8">
        <v>0.77800000000000002</v>
      </c>
      <c r="P315" s="8">
        <f>0.464+0.656+0.535</f>
        <v>1.6550000000000002</v>
      </c>
      <c r="Q315" s="8"/>
      <c r="R315" s="8"/>
      <c r="S315" s="8">
        <v>1.228</v>
      </c>
      <c r="T315" s="8">
        <f>0.754+0.814+0.925+0.431</f>
        <v>2.9240000000000004</v>
      </c>
      <c r="U315" s="8"/>
      <c r="V315" s="8">
        <f t="shared" si="76"/>
        <v>2.1272493573264786</v>
      </c>
      <c r="W315" s="8"/>
      <c r="X315" s="8">
        <f>T315/S315</f>
        <v>2.3811074918566777</v>
      </c>
      <c r="Y315" s="31">
        <f t="shared" si="67"/>
        <v>-0.35298828870598309</v>
      </c>
      <c r="Z315" s="31" t="str">
        <f t="shared" si="68"/>
        <v/>
      </c>
      <c r="AA315" s="31">
        <f t="shared" si="69"/>
        <v>-0.35298828870598309</v>
      </c>
    </row>
    <row r="316" spans="1:27" x14ac:dyDescent="0.25">
      <c r="A316" s="6" t="str">
        <f t="shared" si="62"/>
        <v>complete</v>
      </c>
      <c r="C316" s="6" t="str">
        <f t="shared" si="63"/>
        <v>HC135 1491</v>
      </c>
      <c r="D316" s="6" t="s">
        <v>313</v>
      </c>
      <c r="E316" s="20">
        <v>1491</v>
      </c>
      <c r="F316" s="6" t="s">
        <v>312</v>
      </c>
      <c r="G316" s="6" t="s">
        <v>314</v>
      </c>
      <c r="H316" s="6" t="s">
        <v>977</v>
      </c>
      <c r="I316" s="8" t="s">
        <v>20</v>
      </c>
      <c r="J316" s="29">
        <v>15.414</v>
      </c>
      <c r="K316" s="8">
        <f t="shared" si="64"/>
        <v>1.1879153546499899</v>
      </c>
      <c r="L316" s="8">
        <f t="shared" si="65"/>
        <v>7.3404463733438927</v>
      </c>
      <c r="M316" s="8"/>
      <c r="N316" s="8"/>
      <c r="O316" s="8">
        <v>2.6970000000000001</v>
      </c>
      <c r="P316" s="8">
        <f>0.524+1.515+1.283+1.111</f>
        <v>4.4329999999999998</v>
      </c>
      <c r="Q316" s="8"/>
      <c r="R316" s="8"/>
      <c r="S316" s="8">
        <v>3.06</v>
      </c>
      <c r="T316" s="8">
        <f>0.393+1.95+0.502+1.685+1.051+0.158+0.885</f>
        <v>6.6239999999999997</v>
      </c>
      <c r="U316" s="8"/>
      <c r="V316" s="8">
        <f t="shared" si="76"/>
        <v>1.6436781609195401</v>
      </c>
      <c r="W316" s="8"/>
      <c r="X316" s="8">
        <f>T316/S316</f>
        <v>2.164705882352941</v>
      </c>
      <c r="Y316" s="31">
        <f t="shared" si="67"/>
        <v>-0.27971074117665817</v>
      </c>
      <c r="Z316" s="31" t="str">
        <f t="shared" si="68"/>
        <v/>
      </c>
      <c r="AA316" s="31">
        <f t="shared" si="69"/>
        <v>-0.27971074117665817</v>
      </c>
    </row>
    <row r="317" spans="1:27" x14ac:dyDescent="0.25">
      <c r="A317" s="6" t="str">
        <f t="shared" si="62"/>
        <v>complete</v>
      </c>
      <c r="C317" s="6" t="str">
        <f t="shared" si="63"/>
        <v>HC135 1491</v>
      </c>
      <c r="D317" s="6" t="s">
        <v>313</v>
      </c>
      <c r="E317" s="20">
        <v>1491</v>
      </c>
      <c r="F317" s="6" t="s">
        <v>312</v>
      </c>
      <c r="G317" s="6" t="s">
        <v>315</v>
      </c>
      <c r="H317" s="6" t="s">
        <v>977</v>
      </c>
      <c r="I317" s="8" t="s">
        <v>20</v>
      </c>
      <c r="J317" s="29">
        <v>4.6900000000000004</v>
      </c>
      <c r="K317" s="8">
        <f t="shared" si="64"/>
        <v>0.67117284271508326</v>
      </c>
      <c r="L317" s="8">
        <f t="shared" si="65"/>
        <v>6.1506027684462792</v>
      </c>
      <c r="M317" s="8">
        <v>0.53800000000000003</v>
      </c>
      <c r="N317" s="8">
        <f>0.444+0.96+0.381</f>
        <v>1.7849999999999999</v>
      </c>
      <c r="O317" s="8">
        <v>0.68600000000000005</v>
      </c>
      <c r="P317" s="8">
        <f>0.902+0.663</f>
        <v>1.5649999999999999</v>
      </c>
      <c r="Q317" s="8">
        <v>0.35399999999999998</v>
      </c>
      <c r="R317" s="8">
        <f>0.438+0.496+0.473</f>
        <v>1.407</v>
      </c>
      <c r="S317" s="8"/>
      <c r="T317" s="8"/>
      <c r="U317" s="8">
        <f>N317/M317</f>
        <v>3.3178438661710032</v>
      </c>
      <c r="V317" s="8">
        <f t="shared" si="76"/>
        <v>2.2813411078717198</v>
      </c>
      <c r="W317" s="8">
        <f>R317/Q317</f>
        <v>3.9745762711864412</v>
      </c>
      <c r="X317" s="8"/>
      <c r="Y317" s="31">
        <f t="shared" si="67"/>
        <v>-0.50396133792987885</v>
      </c>
      <c r="Z317" s="31" t="str">
        <f t="shared" si="68"/>
        <v/>
      </c>
      <c r="AA317" s="31">
        <f t="shared" si="69"/>
        <v>-0.50396133792987885</v>
      </c>
    </row>
    <row r="318" spans="1:27" x14ac:dyDescent="0.25">
      <c r="A318" s="6" t="str">
        <f t="shared" si="62"/>
        <v>complete</v>
      </c>
      <c r="C318" s="6" t="str">
        <f t="shared" si="63"/>
        <v>HC135 1491</v>
      </c>
      <c r="D318" s="6" t="s">
        <v>313</v>
      </c>
      <c r="E318" s="20">
        <v>1491</v>
      </c>
      <c r="F318" s="6" t="s">
        <v>312</v>
      </c>
      <c r="G318" s="6" t="s">
        <v>316</v>
      </c>
      <c r="H318" s="6" t="s">
        <v>977</v>
      </c>
      <c r="I318" s="8" t="s">
        <v>20</v>
      </c>
      <c r="J318" s="29">
        <v>8.4190000000000005</v>
      </c>
      <c r="K318" s="8">
        <f t="shared" si="64"/>
        <v>0.92526050951943528</v>
      </c>
      <c r="L318" s="8">
        <f t="shared" si="65"/>
        <v>6.7356612423436184</v>
      </c>
      <c r="M318" s="8">
        <v>0.90100000000000002</v>
      </c>
      <c r="N318" s="8">
        <f>0.647+0.855+0.691</f>
        <v>2.1930000000000001</v>
      </c>
      <c r="O318" s="8">
        <v>1.1739999999999999</v>
      </c>
      <c r="P318" s="8">
        <f>0.744+1.181+0.461</f>
        <v>2.3860000000000001</v>
      </c>
      <c r="Q318" s="8">
        <v>0.83699999999999997</v>
      </c>
      <c r="R318" s="8">
        <f>0.57+0.752+0.779</f>
        <v>2.101</v>
      </c>
      <c r="S318" s="8"/>
      <c r="T318" s="8"/>
      <c r="U318" s="8">
        <f>N318/M318</f>
        <v>2.4339622641509435</v>
      </c>
      <c r="V318" s="8">
        <f t="shared" si="76"/>
        <v>2.0323679727427599</v>
      </c>
      <c r="W318" s="8">
        <f>R318/Q318</f>
        <v>2.5101553166069297</v>
      </c>
      <c r="X318" s="8"/>
      <c r="Y318" s="31">
        <f t="shared" si="67"/>
        <v>-0.36651544453678436</v>
      </c>
      <c r="Z318" s="31" t="str">
        <f t="shared" si="68"/>
        <v/>
      </c>
      <c r="AA318" s="31">
        <f t="shared" si="69"/>
        <v>-0.36651544453678436</v>
      </c>
    </row>
    <row r="319" spans="1:27" x14ac:dyDescent="0.25">
      <c r="A319" s="6" t="str">
        <f t="shared" si="62"/>
        <v>complete</v>
      </c>
      <c r="C319" s="6" t="str">
        <f t="shared" si="63"/>
        <v>HC135 1491</v>
      </c>
      <c r="D319" s="6" t="s">
        <v>313</v>
      </c>
      <c r="E319" s="20">
        <v>1491</v>
      </c>
      <c r="F319" s="6" t="s">
        <v>312</v>
      </c>
      <c r="G319" s="6" t="s">
        <v>317</v>
      </c>
      <c r="H319" s="6" t="s">
        <v>977</v>
      </c>
      <c r="I319" s="8" t="s">
        <v>20</v>
      </c>
      <c r="J319" s="29">
        <v>4.5120000000000005</v>
      </c>
      <c r="K319" s="8">
        <f t="shared" si="64"/>
        <v>0.65436909097528595</v>
      </c>
      <c r="L319" s="8">
        <f t="shared" si="65"/>
        <v>6.1119107001838495</v>
      </c>
      <c r="M319" s="8"/>
      <c r="N319" s="8"/>
      <c r="O319" s="8">
        <v>0.76800000000000002</v>
      </c>
      <c r="P319" s="8">
        <f>0.23+0.686+0.333+0.519+0.724+0.342</f>
        <v>2.8340000000000001</v>
      </c>
      <c r="Q319" s="8">
        <v>0.98099999999999998</v>
      </c>
      <c r="R319" s="8">
        <f>0.402+1.087+0.699+0.522</f>
        <v>2.71</v>
      </c>
      <c r="S319" s="8"/>
      <c r="T319" s="8"/>
      <c r="U319" s="8"/>
      <c r="V319" s="8">
        <f t="shared" si="76"/>
        <v>3.6901041666666665</v>
      </c>
      <c r="W319" s="8">
        <f>R319/Q319</f>
        <v>2.7624872579001019</v>
      </c>
      <c r="X319" s="8"/>
      <c r="Y319" s="31">
        <f t="shared" si="67"/>
        <v>-0.50870417096588449</v>
      </c>
      <c r="Z319" s="31" t="str">
        <f t="shared" si="68"/>
        <v/>
      </c>
      <c r="AA319" s="31">
        <f t="shared" si="69"/>
        <v>-0.50870417096588449</v>
      </c>
    </row>
    <row r="320" spans="1:27" x14ac:dyDescent="0.25">
      <c r="A320" s="6" t="str">
        <f t="shared" si="62"/>
        <v>fragment</v>
      </c>
      <c r="C320" s="6" t="str">
        <f t="shared" si="63"/>
        <v>HC135 1491</v>
      </c>
      <c r="D320" s="6" t="s">
        <v>313</v>
      </c>
      <c r="E320" s="20">
        <v>1491</v>
      </c>
      <c r="F320" s="6" t="s">
        <v>312</v>
      </c>
      <c r="G320" s="6" t="s">
        <v>318</v>
      </c>
      <c r="H320" s="6" t="s">
        <v>977</v>
      </c>
      <c r="I320" s="8" t="s">
        <v>20</v>
      </c>
      <c r="J320" s="29"/>
      <c r="K320" s="8" t="str">
        <f t="shared" si="64"/>
        <v/>
      </c>
      <c r="L320" s="8" t="str">
        <f t="shared" si="65"/>
        <v/>
      </c>
      <c r="M320" s="8"/>
      <c r="N320" s="8"/>
      <c r="O320" s="8">
        <v>0.39</v>
      </c>
      <c r="P320" s="8">
        <f>0.535+0.458</f>
        <v>0.9930000000000001</v>
      </c>
      <c r="Q320" s="8"/>
      <c r="R320" s="8"/>
      <c r="S320" s="8">
        <v>0.68100000000000005</v>
      </c>
      <c r="T320" s="8">
        <f>0.776+0.697+0.25</f>
        <v>1.7229999999999999</v>
      </c>
      <c r="U320" s="8"/>
      <c r="V320" s="8">
        <f t="shared" si="76"/>
        <v>2.5461538461538464</v>
      </c>
      <c r="W320" s="8"/>
      <c r="X320" s="8">
        <f>T320/S320</f>
        <v>2.5301027900146837</v>
      </c>
      <c r="Y320" s="31">
        <f t="shared" si="67"/>
        <v>-0.40451357458579695</v>
      </c>
      <c r="Z320" s="31">
        <f t="shared" si="68"/>
        <v>-0.40451357458579695</v>
      </c>
      <c r="AA320" s="31" t="str">
        <f t="shared" si="69"/>
        <v/>
      </c>
    </row>
    <row r="321" spans="1:27" x14ac:dyDescent="0.25">
      <c r="A321" s="6" t="str">
        <f t="shared" si="62"/>
        <v>complete</v>
      </c>
      <c r="C321" s="6" t="str">
        <f t="shared" si="63"/>
        <v>HC135 1491</v>
      </c>
      <c r="D321" s="6" t="s">
        <v>313</v>
      </c>
      <c r="E321" s="20">
        <v>1491</v>
      </c>
      <c r="F321" s="6" t="s">
        <v>312</v>
      </c>
      <c r="G321" s="6" t="s">
        <v>961</v>
      </c>
      <c r="H321" s="6" t="s">
        <v>977</v>
      </c>
      <c r="I321" s="8" t="s">
        <v>20</v>
      </c>
      <c r="J321" s="29">
        <v>26.420999999999999</v>
      </c>
      <c r="K321" s="8">
        <f t="shared" si="64"/>
        <v>1.4219492510628786</v>
      </c>
      <c r="L321" s="8">
        <f t="shared" si="65"/>
        <v>7.8793293344795234</v>
      </c>
      <c r="M321" s="8">
        <v>1.6419999999999999</v>
      </c>
      <c r="N321" s="8">
        <f>0.486+0.891+0.91+0.479</f>
        <v>2.766</v>
      </c>
      <c r="O321" s="8">
        <v>4.9119999999999999</v>
      </c>
      <c r="P321" s="8">
        <f>1.01+1.936+1.557+0.632</f>
        <v>5.1349999999999998</v>
      </c>
      <c r="Q321" s="8"/>
      <c r="R321" s="8"/>
      <c r="S321" s="8"/>
      <c r="T321" s="8"/>
      <c r="U321" s="8">
        <f>N321/M321</f>
        <v>1.6845310596833132</v>
      </c>
      <c r="V321" s="8">
        <f t="shared" si="76"/>
        <v>1.0453990228013028</v>
      </c>
      <c r="W321" s="8"/>
      <c r="X321" s="8"/>
      <c r="Y321" s="31">
        <f t="shared" si="67"/>
        <v>-0.1351215286002328</v>
      </c>
      <c r="Z321" s="31" t="str">
        <f t="shared" si="68"/>
        <v/>
      </c>
      <c r="AA321" s="31">
        <f t="shared" si="69"/>
        <v>-0.1351215286002328</v>
      </c>
    </row>
    <row r="322" spans="1:27" x14ac:dyDescent="0.25">
      <c r="A322" s="6" t="str">
        <f t="shared" ref="A322:A385" si="77">IF(J322&gt;0,"complete","fragment")</f>
        <v>complete</v>
      </c>
      <c r="C322" s="6" t="str">
        <f t="shared" ref="C322:C385" si="78">D322&amp;" "&amp;E322</f>
        <v>HC135 1491</v>
      </c>
      <c r="D322" s="6" t="s">
        <v>313</v>
      </c>
      <c r="E322" s="20">
        <v>1491</v>
      </c>
      <c r="F322" s="6" t="s">
        <v>312</v>
      </c>
      <c r="G322" s="6" t="s">
        <v>960</v>
      </c>
      <c r="H322" s="6" t="s">
        <v>977</v>
      </c>
      <c r="I322" s="8" t="s">
        <v>20</v>
      </c>
      <c r="J322" s="29">
        <v>27.960999999999999</v>
      </c>
      <c r="K322" s="8">
        <f t="shared" ref="K322:K385" si="79">IF(J322&gt;0,LOG(J322),"")</f>
        <v>1.4465526995026758</v>
      </c>
      <c r="L322" s="8">
        <f t="shared" ref="L322:L385" si="80">IF(J322&gt;0,LN(J322*100),"")</f>
        <v>7.9359808680932478</v>
      </c>
      <c r="M322" s="8"/>
      <c r="N322" s="8"/>
      <c r="O322" s="8">
        <v>3.92</v>
      </c>
      <c r="P322" s="8">
        <f>0.618+0.986+1.92+0.65+0.653</f>
        <v>4.827</v>
      </c>
      <c r="Q322" s="8"/>
      <c r="R322" s="8"/>
      <c r="S322" s="8">
        <v>4.798</v>
      </c>
      <c r="T322" s="8">
        <f>1.397+1.583+1.615+0.818</f>
        <v>5.4129999999999994</v>
      </c>
      <c r="U322" s="8"/>
      <c r="V322" s="8">
        <f t="shared" si="76"/>
        <v>1.2313775510204081</v>
      </c>
      <c r="W322" s="8"/>
      <c r="X322" s="8">
        <f>T322/S322</f>
        <v>1.1281784076698622</v>
      </c>
      <c r="Y322" s="31">
        <f t="shared" ref="Y322:Y385" si="81">IF(COUNT(U322:X322)&gt;0,LOG(1/AVERAGE(U322:X322)),"")</f>
        <v>-7.1800285765874744E-2</v>
      </c>
      <c r="Z322" s="31" t="str">
        <f t="shared" ref="Z322:Z385" si="82">IF(A322="fragment",IF(ISNUMBER(Y322)=TRUE,Y322,""),"")</f>
        <v/>
      </c>
      <c r="AA322" s="31">
        <f t="shared" ref="AA322:AA385" si="83">IF(A322="complete",IF(ISNUMBER(Y322)=TRUE,Y322,""),"")</f>
        <v>-7.1800285765874744E-2</v>
      </c>
    </row>
    <row r="323" spans="1:27" x14ac:dyDescent="0.25">
      <c r="A323" s="6" t="str">
        <f t="shared" si="77"/>
        <v>fragment</v>
      </c>
      <c r="C323" s="6" t="str">
        <f t="shared" si="78"/>
        <v>HC135 1491</v>
      </c>
      <c r="D323" s="6" t="s">
        <v>313</v>
      </c>
      <c r="E323" s="20">
        <v>1491</v>
      </c>
      <c r="F323" s="6" t="s">
        <v>312</v>
      </c>
      <c r="G323" s="6" t="s">
        <v>319</v>
      </c>
      <c r="H323" s="6" t="s">
        <v>977</v>
      </c>
      <c r="I323" s="8" t="s">
        <v>20</v>
      </c>
      <c r="J323" s="29"/>
      <c r="K323" s="8" t="str">
        <f t="shared" si="79"/>
        <v/>
      </c>
      <c r="L323" s="8" t="str">
        <f t="shared" si="80"/>
        <v/>
      </c>
      <c r="M323" s="8"/>
      <c r="N323" s="8"/>
      <c r="O323" s="8">
        <v>1.966</v>
      </c>
      <c r="P323" s="8">
        <f>1.209+1.262</f>
        <v>2.4710000000000001</v>
      </c>
      <c r="Q323" s="8"/>
      <c r="R323" s="8"/>
      <c r="S323" s="8">
        <v>1.931</v>
      </c>
      <c r="T323" s="8">
        <f>1.152+1.057+0.447</f>
        <v>2.6559999999999997</v>
      </c>
      <c r="U323" s="8"/>
      <c r="V323" s="8">
        <f t="shared" si="76"/>
        <v>1.2568667344862665</v>
      </c>
      <c r="W323" s="8"/>
      <c r="X323" s="8">
        <f>T323/S323</f>
        <v>1.3754531330916622</v>
      </c>
      <c r="Y323" s="31">
        <f t="shared" si="81"/>
        <v>-0.11930866598136639</v>
      </c>
      <c r="Z323" s="31">
        <f t="shared" si="82"/>
        <v>-0.11930866598136639</v>
      </c>
      <c r="AA323" s="31" t="str">
        <f t="shared" si="83"/>
        <v/>
      </c>
    </row>
    <row r="324" spans="1:27" x14ac:dyDescent="0.25">
      <c r="A324" s="6" t="str">
        <f t="shared" si="77"/>
        <v>complete</v>
      </c>
      <c r="C324" s="6" t="str">
        <f t="shared" si="78"/>
        <v>HC135 1491</v>
      </c>
      <c r="D324" s="6" t="s">
        <v>313</v>
      </c>
      <c r="E324" s="20">
        <v>1491</v>
      </c>
      <c r="F324" s="6" t="s">
        <v>312</v>
      </c>
      <c r="G324" s="6" t="s">
        <v>320</v>
      </c>
      <c r="H324" s="6" t="s">
        <v>977</v>
      </c>
      <c r="I324" s="8" t="s">
        <v>20</v>
      </c>
      <c r="J324" s="29">
        <v>7.0179999999999998</v>
      </c>
      <c r="K324" s="8">
        <f t="shared" si="79"/>
        <v>0.84621336387938739</v>
      </c>
      <c r="L324" s="8">
        <f t="shared" si="80"/>
        <v>6.5536484631491145</v>
      </c>
      <c r="M324" s="8"/>
      <c r="N324" s="8"/>
      <c r="O324" s="8">
        <v>1</v>
      </c>
      <c r="P324" s="8">
        <f>0.523+0.736+0.859</f>
        <v>2.1179999999999999</v>
      </c>
      <c r="Q324" s="8"/>
      <c r="R324" s="8"/>
      <c r="S324" s="8">
        <v>1.27</v>
      </c>
      <c r="T324" s="8">
        <f>0.512+0.906+0.543</f>
        <v>1.9610000000000003</v>
      </c>
      <c r="U324" s="8"/>
      <c r="V324" s="8">
        <f t="shared" si="76"/>
        <v>2.1179999999999999</v>
      </c>
      <c r="W324" s="8"/>
      <c r="X324" s="8">
        <f>T324/S324</f>
        <v>1.5440944881889767</v>
      </c>
      <c r="Y324" s="31">
        <f t="shared" si="81"/>
        <v>-0.26269954997337264</v>
      </c>
      <c r="Z324" s="31" t="str">
        <f t="shared" si="82"/>
        <v/>
      </c>
      <c r="AA324" s="31">
        <f t="shared" si="83"/>
        <v>-0.26269954997337264</v>
      </c>
    </row>
    <row r="325" spans="1:27" x14ac:dyDescent="0.25">
      <c r="A325" s="6" t="str">
        <f t="shared" si="77"/>
        <v>complete</v>
      </c>
      <c r="C325" s="6" t="str">
        <f t="shared" si="78"/>
        <v>HC135 1491</v>
      </c>
      <c r="D325" s="6" t="s">
        <v>313</v>
      </c>
      <c r="E325" s="20">
        <v>1491</v>
      </c>
      <c r="F325" s="6" t="s">
        <v>312</v>
      </c>
      <c r="G325" s="6" t="s">
        <v>321</v>
      </c>
      <c r="H325" s="6" t="s">
        <v>977</v>
      </c>
      <c r="I325" s="8" t="s">
        <v>20</v>
      </c>
      <c r="J325" s="29">
        <v>1.6579999999999999</v>
      </c>
      <c r="K325" s="8">
        <f t="shared" si="79"/>
        <v>0.21958452621425473</v>
      </c>
      <c r="L325" s="8">
        <f t="shared" si="80"/>
        <v>5.1107822427011946</v>
      </c>
      <c r="M325" s="8">
        <v>0.112</v>
      </c>
      <c r="N325" s="8">
        <f>0.25+0.319</f>
        <v>0.56899999999999995</v>
      </c>
      <c r="O325" s="8">
        <v>0.36</v>
      </c>
      <c r="P325" s="8">
        <f>0.229+0.852+0.405</f>
        <v>1.486</v>
      </c>
      <c r="Q325" s="8">
        <v>0.14400000000000002</v>
      </c>
      <c r="R325" s="8">
        <f>0.273+0.312+0.315</f>
        <v>0.89999999999999991</v>
      </c>
      <c r="S325" s="8"/>
      <c r="T325" s="8"/>
      <c r="U325" s="8">
        <f>N325/M325</f>
        <v>5.0803571428571423</v>
      </c>
      <c r="V325" s="8">
        <f t="shared" si="76"/>
        <v>4.1277777777777782</v>
      </c>
      <c r="W325" s="8">
        <f>R325/Q325</f>
        <v>6.2499999999999982</v>
      </c>
      <c r="X325" s="8"/>
      <c r="Y325" s="31">
        <f t="shared" si="81"/>
        <v>-0.71203583883813393</v>
      </c>
      <c r="Z325" s="31" t="str">
        <f t="shared" si="82"/>
        <v/>
      </c>
      <c r="AA325" s="31">
        <f t="shared" si="83"/>
        <v>-0.71203583883813393</v>
      </c>
    </row>
    <row r="326" spans="1:27" x14ac:dyDescent="0.25">
      <c r="A326" s="6" t="str">
        <f t="shared" si="77"/>
        <v>complete</v>
      </c>
      <c r="C326" s="6" t="str">
        <f t="shared" si="78"/>
        <v>HC135 1491</v>
      </c>
      <c r="D326" s="6" t="s">
        <v>313</v>
      </c>
      <c r="E326" s="20">
        <v>1491</v>
      </c>
      <c r="F326" s="6" t="s">
        <v>312</v>
      </c>
      <c r="G326" s="6" t="s">
        <v>323</v>
      </c>
      <c r="H326" s="6" t="s">
        <v>977</v>
      </c>
      <c r="I326" s="8" t="s">
        <v>20</v>
      </c>
      <c r="J326" s="29">
        <v>31.216000000000001</v>
      </c>
      <c r="K326" s="8">
        <f t="shared" si="79"/>
        <v>1.4943772520504428</v>
      </c>
      <c r="L326" s="8">
        <f t="shared" si="80"/>
        <v>8.0461009698688475</v>
      </c>
      <c r="M326" s="8"/>
      <c r="N326" s="8"/>
      <c r="O326" s="8">
        <v>2.1339999999999999</v>
      </c>
      <c r="P326" s="8">
        <f>1.081+1.082+0.904</f>
        <v>3.0670000000000002</v>
      </c>
      <c r="Q326" s="8">
        <v>2.0779999999999998</v>
      </c>
      <c r="R326" s="8">
        <f>1.217+0.889+0.41+0.718+0.877</f>
        <v>4.1109999999999998</v>
      </c>
      <c r="S326" s="8">
        <v>1.3440000000000001</v>
      </c>
      <c r="T326" s="8">
        <f>0.895+0.833</f>
        <v>1.728</v>
      </c>
      <c r="U326" s="8"/>
      <c r="V326" s="8">
        <f t="shared" si="76"/>
        <v>1.4372071227741332</v>
      </c>
      <c r="W326" s="8">
        <f>R326/Q326</f>
        <v>1.9783445620789222</v>
      </c>
      <c r="X326" s="8">
        <f>T326/S326</f>
        <v>1.2857142857142856</v>
      </c>
      <c r="Y326" s="31">
        <f t="shared" si="81"/>
        <v>-0.19509356704554198</v>
      </c>
      <c r="Z326" s="31" t="str">
        <f t="shared" si="82"/>
        <v/>
      </c>
      <c r="AA326" s="31">
        <f t="shared" si="83"/>
        <v>-0.19509356704554198</v>
      </c>
    </row>
    <row r="327" spans="1:27" x14ac:dyDescent="0.25">
      <c r="A327" s="6" t="str">
        <f t="shared" si="77"/>
        <v>fragment</v>
      </c>
      <c r="C327" s="6" t="str">
        <f t="shared" si="78"/>
        <v>HC135 1491</v>
      </c>
      <c r="D327" s="6" t="s">
        <v>313</v>
      </c>
      <c r="E327" s="20">
        <v>1491</v>
      </c>
      <c r="F327" s="6" t="s">
        <v>312</v>
      </c>
      <c r="G327" s="6" t="s">
        <v>324</v>
      </c>
      <c r="H327" s="6" t="s">
        <v>977</v>
      </c>
      <c r="I327" s="8" t="s">
        <v>20</v>
      </c>
      <c r="J327" s="29"/>
      <c r="K327" s="8" t="str">
        <f t="shared" si="79"/>
        <v/>
      </c>
      <c r="L327" s="8" t="str">
        <f t="shared" si="80"/>
        <v/>
      </c>
      <c r="M327" s="8">
        <v>1.4510000000000001</v>
      </c>
      <c r="N327" s="8">
        <f>0.651+0.771+0.719+0.413</f>
        <v>2.5539999999999998</v>
      </c>
      <c r="O327" s="8">
        <v>0.55100000000000005</v>
      </c>
      <c r="P327" s="8">
        <f>0.299+0.434+0.261</f>
        <v>0.99399999999999999</v>
      </c>
      <c r="Q327" s="8"/>
      <c r="R327" s="8"/>
      <c r="S327" s="8"/>
      <c r="T327" s="8"/>
      <c r="U327" s="8">
        <f>N327/M327</f>
        <v>1.7601654031702272</v>
      </c>
      <c r="V327" s="8">
        <f t="shared" si="76"/>
        <v>1.8039927404718692</v>
      </c>
      <c r="W327" s="8"/>
      <c r="X327" s="8"/>
      <c r="Y327" s="31">
        <f t="shared" si="81"/>
        <v>-0.25092697001156955</v>
      </c>
      <c r="Z327" s="31">
        <f t="shared" si="82"/>
        <v>-0.25092697001156955</v>
      </c>
      <c r="AA327" s="31" t="str">
        <f t="shared" si="83"/>
        <v/>
      </c>
    </row>
    <row r="328" spans="1:27" x14ac:dyDescent="0.25">
      <c r="A328" s="6" t="str">
        <f t="shared" si="77"/>
        <v>fragment</v>
      </c>
      <c r="C328" s="6" t="str">
        <f t="shared" si="78"/>
        <v>HC135 1491</v>
      </c>
      <c r="D328" s="6" t="s">
        <v>313</v>
      </c>
      <c r="E328" s="20">
        <v>1491</v>
      </c>
      <c r="F328" s="6" t="s">
        <v>312</v>
      </c>
      <c r="G328" s="6" t="s">
        <v>325</v>
      </c>
      <c r="H328" s="6" t="s">
        <v>977</v>
      </c>
      <c r="I328" s="8" t="s">
        <v>20</v>
      </c>
      <c r="J328" s="29"/>
      <c r="K328" s="8" t="str">
        <f t="shared" si="79"/>
        <v/>
      </c>
      <c r="L328" s="8" t="str">
        <f t="shared" si="80"/>
        <v/>
      </c>
      <c r="M328" s="8">
        <v>0.23700000000000002</v>
      </c>
      <c r="N328" s="8">
        <f>0.271+0.376+0.344</f>
        <v>0.99099999999999999</v>
      </c>
      <c r="O328" s="8">
        <v>1.7970000000000002</v>
      </c>
      <c r="P328" s="8">
        <f>0.656+0.685+0.892+0.974+0.527+0.635</f>
        <v>4.3689999999999998</v>
      </c>
      <c r="Q328" s="8">
        <v>1.1000000000000001</v>
      </c>
      <c r="R328" s="8">
        <f>0.667+0.857+0.801</f>
        <v>2.3250000000000002</v>
      </c>
      <c r="S328" s="8"/>
      <c r="T328" s="8"/>
      <c r="U328" s="8">
        <f>N328/M328</f>
        <v>4.1814345991561179</v>
      </c>
      <c r="V328" s="8">
        <f t="shared" si="76"/>
        <v>2.4312743461324424</v>
      </c>
      <c r="W328" s="8">
        <f>R328/Q328</f>
        <v>2.1136363636363638</v>
      </c>
      <c r="X328" s="8"/>
      <c r="Y328" s="31">
        <f t="shared" si="81"/>
        <v>-0.4637111396741449</v>
      </c>
      <c r="Z328" s="31">
        <f t="shared" si="82"/>
        <v>-0.4637111396741449</v>
      </c>
      <c r="AA328" s="31" t="str">
        <f t="shared" si="83"/>
        <v/>
      </c>
    </row>
    <row r="329" spans="1:27" x14ac:dyDescent="0.25">
      <c r="A329" s="6" t="str">
        <f t="shared" si="77"/>
        <v>complete</v>
      </c>
      <c r="C329" s="6" t="str">
        <f t="shared" si="78"/>
        <v>HC135 1491</v>
      </c>
      <c r="D329" s="6" t="s">
        <v>313</v>
      </c>
      <c r="E329" s="20">
        <v>1491</v>
      </c>
      <c r="F329" s="6" t="s">
        <v>312</v>
      </c>
      <c r="G329" s="6" t="s">
        <v>326</v>
      </c>
      <c r="H329" s="6" t="s">
        <v>977</v>
      </c>
      <c r="I329" s="8" t="s">
        <v>20</v>
      </c>
      <c r="J329" s="29">
        <v>10.848000000000001</v>
      </c>
      <c r="K329" s="8">
        <f t="shared" si="79"/>
        <v>1.0353496765229881</v>
      </c>
      <c r="L329" s="8">
        <f t="shared" si="80"/>
        <v>6.989150917186131</v>
      </c>
      <c r="M329" s="8"/>
      <c r="N329" s="8"/>
      <c r="O329" s="8"/>
      <c r="P329" s="8"/>
      <c r="Q329" s="8">
        <v>0.54100000000000004</v>
      </c>
      <c r="R329" s="8">
        <f>0.595+0.735</f>
        <v>1.33</v>
      </c>
      <c r="S329" s="8">
        <v>1.377</v>
      </c>
      <c r="T329" s="8">
        <f>0.727+0.783+0.713</f>
        <v>2.2229999999999999</v>
      </c>
      <c r="U329" s="8"/>
      <c r="V329" s="8"/>
      <c r="W329" s="8">
        <f>R329/Q329</f>
        <v>2.4584103512014788</v>
      </c>
      <c r="X329" s="8">
        <f>T329/S329</f>
        <v>1.6143790849673201</v>
      </c>
      <c r="Y329" s="31">
        <f t="shared" si="81"/>
        <v>-0.3088619619118661</v>
      </c>
      <c r="Z329" s="31" t="str">
        <f t="shared" si="82"/>
        <v/>
      </c>
      <c r="AA329" s="31">
        <f t="shared" si="83"/>
        <v>-0.3088619619118661</v>
      </c>
    </row>
    <row r="330" spans="1:27" x14ac:dyDescent="0.25">
      <c r="A330" s="6" t="str">
        <f t="shared" si="77"/>
        <v>fragment</v>
      </c>
      <c r="C330" s="6" t="str">
        <f t="shared" si="78"/>
        <v>HC135 1491</v>
      </c>
      <c r="D330" s="6" t="s">
        <v>313</v>
      </c>
      <c r="E330" s="20">
        <v>1491</v>
      </c>
      <c r="F330" s="6" t="s">
        <v>312</v>
      </c>
      <c r="G330" s="6" t="s">
        <v>327</v>
      </c>
      <c r="H330" s="6" t="s">
        <v>977</v>
      </c>
      <c r="I330" s="8" t="s">
        <v>20</v>
      </c>
      <c r="J330" s="29"/>
      <c r="K330" s="8" t="str">
        <f t="shared" si="79"/>
        <v/>
      </c>
      <c r="L330" s="8" t="str">
        <f t="shared" si="80"/>
        <v/>
      </c>
      <c r="M330" s="8"/>
      <c r="N330" s="8"/>
      <c r="O330" s="8">
        <v>1.843</v>
      </c>
      <c r="P330" s="8">
        <f>0.166+1.565+0.401+1.053+1.274+0.201</f>
        <v>4.6599999999999993</v>
      </c>
      <c r="Q330" s="8"/>
      <c r="R330" s="8"/>
      <c r="S330" s="8"/>
      <c r="T330" s="8"/>
      <c r="U330" s="8"/>
      <c r="V330" s="8">
        <f>P330/O330</f>
        <v>2.5284861638632661</v>
      </c>
      <c r="W330" s="8"/>
      <c r="X330" s="8"/>
      <c r="Y330" s="31">
        <f t="shared" si="81"/>
        <v>-0.40286058147092629</v>
      </c>
      <c r="Z330" s="31">
        <f t="shared" si="82"/>
        <v>-0.40286058147092629</v>
      </c>
      <c r="AA330" s="31" t="str">
        <f t="shared" si="83"/>
        <v/>
      </c>
    </row>
    <row r="331" spans="1:27" x14ac:dyDescent="0.25">
      <c r="A331" s="6" t="str">
        <f t="shared" si="77"/>
        <v>fragment</v>
      </c>
      <c r="C331" s="6" t="str">
        <f t="shared" si="78"/>
        <v>HC135 1491</v>
      </c>
      <c r="D331" s="6" t="s">
        <v>313</v>
      </c>
      <c r="E331" s="20">
        <v>1491</v>
      </c>
      <c r="F331" s="6" t="s">
        <v>312</v>
      </c>
      <c r="G331" s="6" t="s">
        <v>328</v>
      </c>
      <c r="H331" s="6" t="s">
        <v>977</v>
      </c>
      <c r="I331" s="8" t="s">
        <v>20</v>
      </c>
      <c r="J331" s="29"/>
      <c r="K331" s="8" t="str">
        <f t="shared" si="79"/>
        <v/>
      </c>
      <c r="L331" s="8" t="str">
        <f t="shared" si="80"/>
        <v/>
      </c>
      <c r="M331" s="8"/>
      <c r="N331" s="8"/>
      <c r="O331" s="8"/>
      <c r="P331" s="8"/>
      <c r="Q331" s="8">
        <v>0.79400000000000004</v>
      </c>
      <c r="R331" s="8">
        <f>0.488+0.727+0.676</f>
        <v>1.891</v>
      </c>
      <c r="S331" s="8">
        <v>1.31</v>
      </c>
      <c r="T331" s="8">
        <f>0.685+0.841+0.956+0.159</f>
        <v>2.641</v>
      </c>
      <c r="U331" s="8"/>
      <c r="V331" s="8"/>
      <c r="W331" s="8">
        <f>R331/Q331</f>
        <v>2.3816120906801008</v>
      </c>
      <c r="X331" s="8">
        <f t="shared" ref="X331:X337" si="84">T331/S331</f>
        <v>2.0160305343511449</v>
      </c>
      <c r="Y331" s="31">
        <f t="shared" si="81"/>
        <v>-0.34218993780027518</v>
      </c>
      <c r="Z331" s="31">
        <f t="shared" si="82"/>
        <v>-0.34218993780027518</v>
      </c>
      <c r="AA331" s="31" t="str">
        <f t="shared" si="83"/>
        <v/>
      </c>
    </row>
    <row r="332" spans="1:27" x14ac:dyDescent="0.25">
      <c r="A332" s="6" t="str">
        <f t="shared" si="77"/>
        <v>fragment</v>
      </c>
      <c r="C332" s="6" t="str">
        <f t="shared" si="78"/>
        <v>HC135 1491</v>
      </c>
      <c r="D332" s="6" t="s">
        <v>313</v>
      </c>
      <c r="E332" s="20">
        <v>1491</v>
      </c>
      <c r="F332" s="6" t="s">
        <v>312</v>
      </c>
      <c r="G332" s="6" t="s">
        <v>329</v>
      </c>
      <c r="H332" s="6" t="s">
        <v>977</v>
      </c>
      <c r="I332" s="8" t="s">
        <v>20</v>
      </c>
      <c r="J332" s="29"/>
      <c r="K332" s="8" t="str">
        <f t="shared" si="79"/>
        <v/>
      </c>
      <c r="L332" s="8" t="str">
        <f t="shared" si="80"/>
        <v/>
      </c>
      <c r="M332" s="8">
        <v>0.63300000000000001</v>
      </c>
      <c r="N332" s="8">
        <f>0.389+0.518+0.427+0.268</f>
        <v>1.6020000000000001</v>
      </c>
      <c r="O332" s="8">
        <v>1.1990000000000001</v>
      </c>
      <c r="P332" s="8">
        <f>0.268+1.354+0.594</f>
        <v>2.2160000000000002</v>
      </c>
      <c r="Q332" s="8"/>
      <c r="R332" s="8"/>
      <c r="S332" s="8">
        <v>1.931</v>
      </c>
      <c r="T332" s="8">
        <f>0.663+1.282+1.201+0.582</f>
        <v>3.7279999999999998</v>
      </c>
      <c r="U332" s="8">
        <f>N332/M332</f>
        <v>2.5308056872037916</v>
      </c>
      <c r="V332" s="8">
        <f>P332/O332</f>
        <v>1.8482068390325272</v>
      </c>
      <c r="W332" s="8"/>
      <c r="X332" s="8">
        <f t="shared" si="84"/>
        <v>1.9306059036768513</v>
      </c>
      <c r="Y332" s="31">
        <f t="shared" si="81"/>
        <v>-0.32288184164114619</v>
      </c>
      <c r="Z332" s="31">
        <f t="shared" si="82"/>
        <v>-0.32288184164114619</v>
      </c>
      <c r="AA332" s="31" t="str">
        <f t="shared" si="83"/>
        <v/>
      </c>
    </row>
    <row r="333" spans="1:27" x14ac:dyDescent="0.25">
      <c r="A333" s="6" t="str">
        <f t="shared" si="77"/>
        <v>fragment</v>
      </c>
      <c r="C333" s="6" t="str">
        <f t="shared" si="78"/>
        <v>HC135 1491</v>
      </c>
      <c r="D333" s="6" t="s">
        <v>313</v>
      </c>
      <c r="E333" s="20">
        <v>1491</v>
      </c>
      <c r="F333" s="6" t="s">
        <v>312</v>
      </c>
      <c r="G333" s="6" t="s">
        <v>330</v>
      </c>
      <c r="H333" s="6" t="s">
        <v>977</v>
      </c>
      <c r="I333" s="8" t="s">
        <v>20</v>
      </c>
      <c r="J333" s="29"/>
      <c r="K333" s="8" t="str">
        <f t="shared" si="79"/>
        <v/>
      </c>
      <c r="L333" s="8" t="str">
        <f t="shared" si="80"/>
        <v/>
      </c>
      <c r="M333" s="8"/>
      <c r="N333" s="8"/>
      <c r="O333" s="8"/>
      <c r="P333" s="8"/>
      <c r="Q333" s="8">
        <v>0.27500000000000002</v>
      </c>
      <c r="R333" s="8">
        <f>0.347+0.266</f>
        <v>0.61299999999999999</v>
      </c>
      <c r="S333" s="8">
        <v>0.33700000000000002</v>
      </c>
      <c r="T333" s="8">
        <f>0.234+0.344+0.19</f>
        <v>0.76800000000000002</v>
      </c>
      <c r="U333" s="8"/>
      <c r="V333" s="8"/>
      <c r="W333" s="8">
        <f>R333/Q333</f>
        <v>2.229090909090909</v>
      </c>
      <c r="X333" s="8">
        <f t="shared" si="84"/>
        <v>2.2789317507418398</v>
      </c>
      <c r="Y333" s="31">
        <f t="shared" si="81"/>
        <v>-0.35295609472153189</v>
      </c>
      <c r="Z333" s="31">
        <f t="shared" si="82"/>
        <v>-0.35295609472153189</v>
      </c>
      <c r="AA333" s="31" t="str">
        <f t="shared" si="83"/>
        <v/>
      </c>
    </row>
    <row r="334" spans="1:27" x14ac:dyDescent="0.25">
      <c r="A334" s="6" t="str">
        <f t="shared" si="77"/>
        <v>complete</v>
      </c>
      <c r="C334" s="6" t="str">
        <f t="shared" si="78"/>
        <v>HC135 1491</v>
      </c>
      <c r="D334" s="6" t="s">
        <v>313</v>
      </c>
      <c r="E334" s="20">
        <v>1491</v>
      </c>
      <c r="F334" s="6" t="s">
        <v>312</v>
      </c>
      <c r="G334" s="6" t="s">
        <v>331</v>
      </c>
      <c r="H334" s="6" t="s">
        <v>977</v>
      </c>
      <c r="I334" s="8" t="s">
        <v>20</v>
      </c>
      <c r="J334" s="29">
        <v>6.819</v>
      </c>
      <c r="K334" s="8">
        <f t="shared" si="79"/>
        <v>0.83372069044463326</v>
      </c>
      <c r="L334" s="8">
        <f t="shared" si="80"/>
        <v>6.524883019526607</v>
      </c>
      <c r="M334" s="8">
        <v>0.438</v>
      </c>
      <c r="N334" s="8">
        <f>0.405+0.47+0.225</f>
        <v>1.1000000000000001</v>
      </c>
      <c r="O334" s="8"/>
      <c r="P334" s="8"/>
      <c r="Q334" s="8">
        <v>0.95700000000000007</v>
      </c>
      <c r="R334" s="8">
        <f>0.559+0.671+0.565+0.431</f>
        <v>2.226</v>
      </c>
      <c r="S334" s="8">
        <v>0.73099999999999998</v>
      </c>
      <c r="T334" s="8">
        <f>0.526+0.544+0.337</f>
        <v>1.407</v>
      </c>
      <c r="U334" s="8">
        <f>N334/M334</f>
        <v>2.5114155251141557</v>
      </c>
      <c r="V334" s="8"/>
      <c r="W334" s="8">
        <f>R334/Q334</f>
        <v>2.3260188087774294</v>
      </c>
      <c r="X334" s="8">
        <f t="shared" si="84"/>
        <v>1.9247606019151848</v>
      </c>
      <c r="Y334" s="31">
        <f t="shared" si="81"/>
        <v>-0.35296643142687878</v>
      </c>
      <c r="Z334" s="31" t="str">
        <f t="shared" si="82"/>
        <v/>
      </c>
      <c r="AA334" s="31">
        <f t="shared" si="83"/>
        <v>-0.35296643142687878</v>
      </c>
    </row>
    <row r="335" spans="1:27" x14ac:dyDescent="0.25">
      <c r="A335" s="6" t="str">
        <f t="shared" si="77"/>
        <v>fragment</v>
      </c>
      <c r="C335" s="6" t="str">
        <f t="shared" si="78"/>
        <v>HC135 1491</v>
      </c>
      <c r="D335" s="6" t="s">
        <v>313</v>
      </c>
      <c r="E335" s="20">
        <v>1491</v>
      </c>
      <c r="F335" s="6" t="s">
        <v>312</v>
      </c>
      <c r="G335" s="6" t="s">
        <v>332</v>
      </c>
      <c r="H335" s="6" t="s">
        <v>977</v>
      </c>
      <c r="I335" s="8" t="s">
        <v>20</v>
      </c>
      <c r="J335" s="29"/>
      <c r="K335" s="8" t="str">
        <f t="shared" si="79"/>
        <v/>
      </c>
      <c r="L335" s="8" t="str">
        <f t="shared" si="80"/>
        <v/>
      </c>
      <c r="M335" s="8"/>
      <c r="N335" s="8"/>
      <c r="O335" s="8">
        <v>1.21</v>
      </c>
      <c r="P335" s="8">
        <f>0.579+0.654+0.69+0.468</f>
        <v>2.391</v>
      </c>
      <c r="Q335" s="8"/>
      <c r="R335" s="8"/>
      <c r="S335" s="8">
        <v>2.0539999999999998</v>
      </c>
      <c r="T335" s="8">
        <f>1.058+0.482+1.049+0.69+0.897</f>
        <v>4.1760000000000002</v>
      </c>
      <c r="U335" s="8"/>
      <c r="V335" s="8">
        <f>P335/O335</f>
        <v>1.9760330578512397</v>
      </c>
      <c r="W335" s="8"/>
      <c r="X335" s="8">
        <f t="shared" si="84"/>
        <v>2.0331061343719572</v>
      </c>
      <c r="Y335" s="31">
        <f t="shared" si="81"/>
        <v>-0.30202113900137334</v>
      </c>
      <c r="Z335" s="31">
        <f t="shared" si="82"/>
        <v>-0.30202113900137334</v>
      </c>
      <c r="AA335" s="31" t="str">
        <f t="shared" si="83"/>
        <v/>
      </c>
    </row>
    <row r="336" spans="1:27" x14ac:dyDescent="0.25">
      <c r="A336" s="6" t="str">
        <f t="shared" si="77"/>
        <v>complete</v>
      </c>
      <c r="C336" s="6" t="str">
        <f t="shared" si="78"/>
        <v>HC135 1491</v>
      </c>
      <c r="D336" s="6" t="s">
        <v>313</v>
      </c>
      <c r="E336" s="20">
        <v>1491</v>
      </c>
      <c r="F336" s="6" t="s">
        <v>312</v>
      </c>
      <c r="G336" s="6" t="s">
        <v>333</v>
      </c>
      <c r="H336" s="6" t="s">
        <v>977</v>
      </c>
      <c r="I336" s="8" t="s">
        <v>20</v>
      </c>
      <c r="J336" s="29">
        <v>5.2510000000000003</v>
      </c>
      <c r="K336" s="8">
        <f t="shared" si="79"/>
        <v>0.72024201828705703</v>
      </c>
      <c r="L336" s="8">
        <f t="shared" si="80"/>
        <v>6.2635887206438134</v>
      </c>
      <c r="M336" s="8"/>
      <c r="N336" s="8"/>
      <c r="O336" s="8">
        <v>0.47199999999999998</v>
      </c>
      <c r="P336" s="8">
        <f>0.585+0.579</f>
        <v>1.1639999999999999</v>
      </c>
      <c r="Q336" s="8"/>
      <c r="R336" s="8"/>
      <c r="S336" s="8">
        <v>0.66300000000000003</v>
      </c>
      <c r="T336" s="8">
        <f>0.406+0.245+0.824+0.473</f>
        <v>1.948</v>
      </c>
      <c r="U336" s="8"/>
      <c r="V336" s="8">
        <f>P336/O336</f>
        <v>2.4661016949152543</v>
      </c>
      <c r="W336" s="8"/>
      <c r="X336" s="8">
        <f t="shared" si="84"/>
        <v>2.9381598793363497</v>
      </c>
      <c r="Y336" s="31">
        <f t="shared" si="81"/>
        <v>-0.43170636568986548</v>
      </c>
      <c r="Z336" s="31" t="str">
        <f t="shared" si="82"/>
        <v/>
      </c>
      <c r="AA336" s="31">
        <f t="shared" si="83"/>
        <v>-0.43170636568986548</v>
      </c>
    </row>
    <row r="337" spans="1:27" x14ac:dyDescent="0.25">
      <c r="A337" s="6" t="str">
        <f t="shared" si="77"/>
        <v>fragment</v>
      </c>
      <c r="C337" s="6" t="str">
        <f t="shared" si="78"/>
        <v>HC135 1491</v>
      </c>
      <c r="D337" s="6" t="s">
        <v>313</v>
      </c>
      <c r="E337" s="20">
        <v>1491</v>
      </c>
      <c r="F337" s="6" t="s">
        <v>312</v>
      </c>
      <c r="G337" s="6" t="s">
        <v>334</v>
      </c>
      <c r="H337" s="6" t="s">
        <v>977</v>
      </c>
      <c r="I337" s="8" t="s">
        <v>20</v>
      </c>
      <c r="J337" s="29"/>
      <c r="K337" s="8" t="str">
        <f t="shared" si="79"/>
        <v/>
      </c>
      <c r="L337" s="8" t="str">
        <f t="shared" si="80"/>
        <v/>
      </c>
      <c r="M337" s="8"/>
      <c r="N337" s="8"/>
      <c r="O337" s="8">
        <v>0.54500000000000004</v>
      </c>
      <c r="P337" s="8">
        <f>0.363+0.8+0.125+0.391+0.439</f>
        <v>2.1179999999999999</v>
      </c>
      <c r="Q337" s="8"/>
      <c r="R337" s="8"/>
      <c r="S337" s="8">
        <v>0.35299999999999998</v>
      </c>
      <c r="T337" s="8">
        <f>0.38+0.479+0.349</f>
        <v>1.208</v>
      </c>
      <c r="U337" s="8"/>
      <c r="V337" s="8">
        <f>P337/O337</f>
        <v>3.8862385321100912</v>
      </c>
      <c r="W337" s="8"/>
      <c r="X337" s="8">
        <f t="shared" si="84"/>
        <v>3.4220963172804533</v>
      </c>
      <c r="Y337" s="31">
        <f t="shared" si="81"/>
        <v>-0.56278844174545561</v>
      </c>
      <c r="Z337" s="31">
        <f t="shared" si="82"/>
        <v>-0.56278844174545561</v>
      </c>
      <c r="AA337" s="31" t="str">
        <f t="shared" si="83"/>
        <v/>
      </c>
    </row>
    <row r="338" spans="1:27" x14ac:dyDescent="0.25">
      <c r="A338" s="6" t="str">
        <f t="shared" si="77"/>
        <v>complete</v>
      </c>
      <c r="C338" s="6" t="str">
        <f t="shared" si="78"/>
        <v>HC135 1491</v>
      </c>
      <c r="D338" s="6" t="s">
        <v>313</v>
      </c>
      <c r="E338" s="20">
        <v>1491</v>
      </c>
      <c r="F338" s="6" t="s">
        <v>312</v>
      </c>
      <c r="G338" s="6" t="s">
        <v>335</v>
      </c>
      <c r="H338" s="6" t="s">
        <v>977</v>
      </c>
      <c r="I338" s="8" t="s">
        <v>20</v>
      </c>
      <c r="J338" s="29">
        <v>1.8919999999999999</v>
      </c>
      <c r="K338" s="8">
        <f t="shared" si="79"/>
        <v>0.27692113206577396</v>
      </c>
      <c r="L338" s="8">
        <f t="shared" si="80"/>
        <v>5.2428046566177775</v>
      </c>
      <c r="M338" s="8">
        <v>0.24199999999999999</v>
      </c>
      <c r="N338" s="8">
        <f>0.226+0.393+0.152</f>
        <v>0.77100000000000002</v>
      </c>
      <c r="O338" s="8">
        <v>0.40900000000000003</v>
      </c>
      <c r="P338" s="8">
        <f>0.293+0.794+0.671+0.191</f>
        <v>1.9490000000000001</v>
      </c>
      <c r="Q338" s="8">
        <v>0.19900000000000001</v>
      </c>
      <c r="R338" s="8">
        <f>0.179+0.357+0.22</f>
        <v>0.75600000000000001</v>
      </c>
      <c r="S338" s="8"/>
      <c r="T338" s="8"/>
      <c r="U338" s="8">
        <f>N338/M338</f>
        <v>3.1859504132231407</v>
      </c>
      <c r="V338" s="8">
        <f>P338/O338</f>
        <v>4.7652811735941318</v>
      </c>
      <c r="W338" s="8">
        <f>R338/Q338</f>
        <v>3.7989949748743719</v>
      </c>
      <c r="X338" s="8"/>
      <c r="Y338" s="31">
        <f t="shared" si="81"/>
        <v>-0.59292498580672159</v>
      </c>
      <c r="Z338" s="31" t="str">
        <f t="shared" si="82"/>
        <v/>
      </c>
      <c r="AA338" s="31">
        <f t="shared" si="83"/>
        <v>-0.59292498580672159</v>
      </c>
    </row>
    <row r="339" spans="1:27" x14ac:dyDescent="0.25">
      <c r="A339" s="6" t="str">
        <f t="shared" si="77"/>
        <v>fragment</v>
      </c>
      <c r="C339" s="6" t="str">
        <f t="shared" si="78"/>
        <v>HC135 1491</v>
      </c>
      <c r="D339" s="6" t="s">
        <v>313</v>
      </c>
      <c r="E339" s="20">
        <v>1491</v>
      </c>
      <c r="F339" s="6" t="s">
        <v>312</v>
      </c>
      <c r="G339" s="6" t="s">
        <v>336</v>
      </c>
      <c r="H339" s="6" t="s">
        <v>977</v>
      </c>
      <c r="I339" s="8" t="s">
        <v>20</v>
      </c>
      <c r="J339" s="29"/>
      <c r="K339" s="8" t="str">
        <f t="shared" si="79"/>
        <v/>
      </c>
      <c r="L339" s="8" t="str">
        <f t="shared" si="80"/>
        <v/>
      </c>
      <c r="M339" s="8">
        <v>0.45900000000000002</v>
      </c>
      <c r="N339" s="8">
        <f>0.508+0.574</f>
        <v>1.0819999999999999</v>
      </c>
      <c r="O339" s="8"/>
      <c r="P339" s="8"/>
      <c r="Q339" s="8"/>
      <c r="R339" s="8"/>
      <c r="S339" s="8">
        <v>0.996</v>
      </c>
      <c r="T339" s="8">
        <f>0.502+0.818+0.654</f>
        <v>1.9739999999999998</v>
      </c>
      <c r="U339" s="8">
        <f>N339/M339</f>
        <v>2.3572984749455332</v>
      </c>
      <c r="V339" s="8"/>
      <c r="W339" s="8"/>
      <c r="X339" s="8">
        <f>T339/S339</f>
        <v>1.9819277108433733</v>
      </c>
      <c r="Y339" s="31">
        <f t="shared" si="81"/>
        <v>-0.33638229301783956</v>
      </c>
      <c r="Z339" s="31">
        <f t="shared" si="82"/>
        <v>-0.33638229301783956</v>
      </c>
      <c r="AA339" s="31" t="str">
        <f t="shared" si="83"/>
        <v/>
      </c>
    </row>
    <row r="340" spans="1:27" x14ac:dyDescent="0.25">
      <c r="A340" s="6" t="str">
        <f t="shared" si="77"/>
        <v>fragment</v>
      </c>
      <c r="C340" s="6" t="str">
        <f t="shared" si="78"/>
        <v>HC135 1491</v>
      </c>
      <c r="D340" s="6" t="s">
        <v>313</v>
      </c>
      <c r="E340" s="20">
        <v>1491</v>
      </c>
      <c r="F340" s="6" t="s">
        <v>312</v>
      </c>
      <c r="G340" s="6" t="s">
        <v>337</v>
      </c>
      <c r="H340" s="6" t="s">
        <v>977</v>
      </c>
      <c r="I340" s="8" t="s">
        <v>20</v>
      </c>
      <c r="J340" s="29"/>
      <c r="K340" s="8" t="str">
        <f t="shared" si="79"/>
        <v/>
      </c>
      <c r="L340" s="8" t="str">
        <f t="shared" si="80"/>
        <v/>
      </c>
      <c r="M340" s="8"/>
      <c r="N340" s="8"/>
      <c r="O340" s="8">
        <v>0.80200000000000005</v>
      </c>
      <c r="P340" s="8">
        <f>0.402+0.812+0.696+0.224</f>
        <v>2.1339999999999999</v>
      </c>
      <c r="Q340" s="8">
        <v>0.29299999999999998</v>
      </c>
      <c r="R340" s="8">
        <f>0.175+0.725</f>
        <v>0.89999999999999991</v>
      </c>
      <c r="S340" s="8"/>
      <c r="T340" s="8"/>
      <c r="U340" s="8"/>
      <c r="V340" s="8">
        <f t="shared" ref="V340:V346" si="85">P340/O340</f>
        <v>2.6608478802992517</v>
      </c>
      <c r="W340" s="8">
        <f>R340/Q340</f>
        <v>3.0716723549488054</v>
      </c>
      <c r="X340" s="8"/>
      <c r="Y340" s="31">
        <f t="shared" si="81"/>
        <v>-0.45731560075867739</v>
      </c>
      <c r="Z340" s="31">
        <f t="shared" si="82"/>
        <v>-0.45731560075867739</v>
      </c>
      <c r="AA340" s="31" t="str">
        <f t="shared" si="83"/>
        <v/>
      </c>
    </row>
    <row r="341" spans="1:27" x14ac:dyDescent="0.25">
      <c r="A341" s="6" t="str">
        <f t="shared" si="77"/>
        <v>complete</v>
      </c>
      <c r="C341" s="6" t="str">
        <f t="shared" si="78"/>
        <v>HC135 1491</v>
      </c>
      <c r="D341" s="6" t="s">
        <v>313</v>
      </c>
      <c r="E341" s="20">
        <v>1491</v>
      </c>
      <c r="F341" s="6" t="s">
        <v>312</v>
      </c>
      <c r="G341" s="6" t="s">
        <v>340</v>
      </c>
      <c r="H341" s="6" t="s">
        <v>977</v>
      </c>
      <c r="I341" s="8" t="s">
        <v>20</v>
      </c>
      <c r="J341" s="29">
        <f>6.111*2</f>
        <v>12.222</v>
      </c>
      <c r="K341" s="8">
        <f t="shared" si="79"/>
        <v>1.0871422793838077</v>
      </c>
      <c r="L341" s="8">
        <f t="shared" si="80"/>
        <v>7.1084077924608149</v>
      </c>
      <c r="M341" s="8"/>
      <c r="N341" s="8"/>
      <c r="O341" s="8">
        <v>1.4470000000000001</v>
      </c>
      <c r="P341" s="8">
        <f>0.925+1.203</f>
        <v>2.1280000000000001</v>
      </c>
      <c r="Q341" s="8">
        <v>0.80500000000000005</v>
      </c>
      <c r="R341" s="8">
        <f>0.937+0.896</f>
        <v>1.8330000000000002</v>
      </c>
      <c r="S341" s="8"/>
      <c r="T341" s="8"/>
      <c r="U341" s="8"/>
      <c r="V341" s="8">
        <f t="shared" si="85"/>
        <v>1.4706288873531443</v>
      </c>
      <c r="W341" s="8">
        <f>R341/Q341</f>
        <v>2.2770186335403726</v>
      </c>
      <c r="X341" s="8"/>
      <c r="Y341" s="31">
        <f t="shared" si="81"/>
        <v>-0.27272874158656657</v>
      </c>
      <c r="Z341" s="31" t="str">
        <f t="shared" si="82"/>
        <v/>
      </c>
      <c r="AA341" s="31">
        <f t="shared" si="83"/>
        <v>-0.27272874158656657</v>
      </c>
    </row>
    <row r="342" spans="1:27" x14ac:dyDescent="0.25">
      <c r="A342" s="6" t="str">
        <f t="shared" si="77"/>
        <v>fragment</v>
      </c>
      <c r="C342" s="6" t="str">
        <f t="shared" si="78"/>
        <v>HC135 1491</v>
      </c>
      <c r="D342" s="6" t="s">
        <v>313</v>
      </c>
      <c r="E342" s="20">
        <v>1491</v>
      </c>
      <c r="F342" s="6" t="s">
        <v>312</v>
      </c>
      <c r="G342" s="6" t="s">
        <v>343</v>
      </c>
      <c r="H342" s="6" t="s">
        <v>977</v>
      </c>
      <c r="I342" s="8" t="s">
        <v>20</v>
      </c>
      <c r="J342" s="29"/>
      <c r="K342" s="8" t="str">
        <f t="shared" si="79"/>
        <v/>
      </c>
      <c r="L342" s="8" t="str">
        <f t="shared" si="80"/>
        <v/>
      </c>
      <c r="M342" s="8"/>
      <c r="N342" s="8"/>
      <c r="O342" s="8">
        <v>0.66600000000000004</v>
      </c>
      <c r="P342" s="8">
        <f>0.479+0.521+0.47</f>
        <v>1.47</v>
      </c>
      <c r="Q342" s="8"/>
      <c r="R342" s="8"/>
      <c r="S342" s="8">
        <v>0.92700000000000005</v>
      </c>
      <c r="T342" s="8">
        <f>0.797+0.925</f>
        <v>1.722</v>
      </c>
      <c r="U342" s="8"/>
      <c r="V342" s="8">
        <f t="shared" si="85"/>
        <v>2.2072072072072069</v>
      </c>
      <c r="W342" s="8"/>
      <c r="X342" s="8">
        <f>T342/S342</f>
        <v>1.8576051779935274</v>
      </c>
      <c r="Y342" s="31">
        <f t="shared" si="81"/>
        <v>-0.30801050950536635</v>
      </c>
      <c r="Z342" s="31">
        <f t="shared" si="82"/>
        <v>-0.30801050950536635</v>
      </c>
      <c r="AA342" s="31" t="str">
        <f t="shared" si="83"/>
        <v/>
      </c>
    </row>
    <row r="343" spans="1:27" x14ac:dyDescent="0.25">
      <c r="A343" s="6" t="str">
        <f t="shared" si="77"/>
        <v>complete</v>
      </c>
      <c r="C343" s="6" t="str">
        <f t="shared" si="78"/>
        <v>HC135 1491</v>
      </c>
      <c r="D343" s="6" t="s">
        <v>313</v>
      </c>
      <c r="E343" s="20">
        <v>1491</v>
      </c>
      <c r="F343" s="6" t="s">
        <v>312</v>
      </c>
      <c r="G343" s="6" t="s">
        <v>322</v>
      </c>
      <c r="H343" s="6" t="s">
        <v>977</v>
      </c>
      <c r="I343" s="8" t="s">
        <v>20</v>
      </c>
      <c r="J343" s="29">
        <v>5.4709900000000005</v>
      </c>
      <c r="K343" s="8">
        <f t="shared" si="79"/>
        <v>0.73806592096485957</v>
      </c>
      <c r="L343" s="8">
        <f t="shared" si="80"/>
        <v>6.3046297732486982</v>
      </c>
      <c r="M343" s="8">
        <v>0.51100000000000001</v>
      </c>
      <c r="N343" s="8">
        <f>0.474+0.609+0.512</f>
        <v>1.595</v>
      </c>
      <c r="O343" s="8">
        <v>0.92600000000000005</v>
      </c>
      <c r="P343" s="8">
        <f>0.553+0.467+0.797+0.33</f>
        <v>2.1470000000000002</v>
      </c>
      <c r="Q343" s="8">
        <v>0.53</v>
      </c>
      <c r="R343" s="8">
        <f>0.415+0.28+0.623+0.314</f>
        <v>1.6320000000000001</v>
      </c>
      <c r="S343" s="8"/>
      <c r="T343" s="8"/>
      <c r="U343" s="8">
        <f>N343/M343</f>
        <v>3.1213307240704502</v>
      </c>
      <c r="V343" s="8">
        <f t="shared" si="85"/>
        <v>2.3185745140388772</v>
      </c>
      <c r="W343" s="8">
        <f>R343/Q343</f>
        <v>3.0792452830188681</v>
      </c>
      <c r="X343" s="8"/>
      <c r="Y343" s="31">
        <f t="shared" si="81"/>
        <v>-0.45327503695086913</v>
      </c>
      <c r="Z343" s="31" t="str">
        <f t="shared" si="82"/>
        <v/>
      </c>
      <c r="AA343" s="31">
        <f t="shared" si="83"/>
        <v>-0.45327503695086913</v>
      </c>
    </row>
    <row r="344" spans="1:27" x14ac:dyDescent="0.25">
      <c r="A344" s="6" t="str">
        <f t="shared" si="77"/>
        <v>complete</v>
      </c>
      <c r="C344" s="6" t="str">
        <f t="shared" si="78"/>
        <v>HC135 1491</v>
      </c>
      <c r="D344" s="6" t="s">
        <v>313</v>
      </c>
      <c r="E344" s="20">
        <v>1491</v>
      </c>
      <c r="F344" s="6" t="s">
        <v>312</v>
      </c>
      <c r="G344" s="6" t="s">
        <v>338</v>
      </c>
      <c r="H344" s="6" t="s">
        <v>977</v>
      </c>
      <c r="I344" s="8" t="s">
        <v>20</v>
      </c>
      <c r="J344" s="29">
        <v>14.737209999999999</v>
      </c>
      <c r="K344" s="8">
        <f t="shared" si="79"/>
        <v>1.1684152721055934</v>
      </c>
      <c r="L344" s="8">
        <f t="shared" si="80"/>
        <v>7.2955457739650118</v>
      </c>
      <c r="M344" s="8"/>
      <c r="N344" s="8"/>
      <c r="O344" s="8">
        <v>2.101</v>
      </c>
      <c r="P344" s="8">
        <f>0.611+1.41+1.141+0.705</f>
        <v>3.867</v>
      </c>
      <c r="Q344" s="8">
        <v>2.38</v>
      </c>
      <c r="R344" s="8">
        <f>1.026+1.578+1.087+0.331</f>
        <v>4.0220000000000002</v>
      </c>
      <c r="S344" s="8">
        <v>2.5369999999999999</v>
      </c>
      <c r="T344" s="8">
        <f>0.591+1.096+1.226+0.612+0.511+0.779</f>
        <v>4.8150000000000004</v>
      </c>
      <c r="U344" s="8"/>
      <c r="V344" s="8">
        <f t="shared" si="85"/>
        <v>1.840552118039029</v>
      </c>
      <c r="W344" s="8">
        <f>R344/Q344</f>
        <v>1.6899159663865548</v>
      </c>
      <c r="X344" s="8">
        <f>T344/S344</f>
        <v>1.8979109184075682</v>
      </c>
      <c r="Y344" s="31">
        <f t="shared" si="81"/>
        <v>-0.25754890724019697</v>
      </c>
      <c r="Z344" s="31" t="str">
        <f t="shared" si="82"/>
        <v/>
      </c>
      <c r="AA344" s="31">
        <f t="shared" si="83"/>
        <v>-0.25754890724019697</v>
      </c>
    </row>
    <row r="345" spans="1:27" x14ac:dyDescent="0.25">
      <c r="A345" s="6" t="str">
        <f t="shared" si="77"/>
        <v>complete</v>
      </c>
      <c r="C345" s="6" t="str">
        <f t="shared" si="78"/>
        <v>HC135 1491</v>
      </c>
      <c r="D345" s="6" t="s">
        <v>313</v>
      </c>
      <c r="E345" s="20">
        <v>1491</v>
      </c>
      <c r="F345" s="6" t="s">
        <v>312</v>
      </c>
      <c r="G345" s="6" t="s">
        <v>339</v>
      </c>
      <c r="H345" s="6" t="s">
        <v>977</v>
      </c>
      <c r="I345" s="8" t="s">
        <v>20</v>
      </c>
      <c r="J345" s="29">
        <v>4.7521700000000004</v>
      </c>
      <c r="K345" s="8">
        <f t="shared" si="79"/>
        <v>0.67689196832442955</v>
      </c>
      <c r="L345" s="8">
        <f t="shared" si="80"/>
        <v>6.1637715418193206</v>
      </c>
      <c r="M345" s="8"/>
      <c r="N345" s="8"/>
      <c r="O345" s="8">
        <v>1.861</v>
      </c>
      <c r="P345" s="8">
        <f>0.309+1.265+0.852+0.71</f>
        <v>3.1359999999999997</v>
      </c>
      <c r="Q345" s="8">
        <v>0.82200000000000006</v>
      </c>
      <c r="R345" s="8">
        <f>0.505+0.626</f>
        <v>1.131</v>
      </c>
      <c r="S345" s="8"/>
      <c r="T345" s="8"/>
      <c r="U345" s="8"/>
      <c r="V345" s="8">
        <f t="shared" si="85"/>
        <v>1.6851155292853304</v>
      </c>
      <c r="W345" s="8">
        <f>R345/Q345</f>
        <v>1.3759124087591239</v>
      </c>
      <c r="X345" s="8"/>
      <c r="Y345" s="31">
        <f t="shared" si="81"/>
        <v>-0.18483729776320348</v>
      </c>
      <c r="Z345" s="31" t="str">
        <f t="shared" si="82"/>
        <v/>
      </c>
      <c r="AA345" s="31">
        <f t="shared" si="83"/>
        <v>-0.18483729776320348</v>
      </c>
    </row>
    <row r="346" spans="1:27" x14ac:dyDescent="0.25">
      <c r="A346" s="6" t="str">
        <f t="shared" si="77"/>
        <v>complete</v>
      </c>
      <c r="C346" s="6" t="str">
        <f t="shared" si="78"/>
        <v>HC135 1491</v>
      </c>
      <c r="D346" s="6" t="s">
        <v>313</v>
      </c>
      <c r="E346" s="20">
        <v>1491</v>
      </c>
      <c r="F346" s="6" t="s">
        <v>312</v>
      </c>
      <c r="G346" s="6" t="s">
        <v>341</v>
      </c>
      <c r="H346" s="6" t="s">
        <v>977</v>
      </c>
      <c r="I346" s="8" t="s">
        <v>20</v>
      </c>
      <c r="J346" s="29">
        <v>17.264780000000002</v>
      </c>
      <c r="K346" s="8">
        <f t="shared" si="79"/>
        <v>1.2371610486342268</v>
      </c>
      <c r="L346" s="8">
        <f t="shared" si="80"/>
        <v>7.4538387742061438</v>
      </c>
      <c r="M346" s="8"/>
      <c r="N346" s="8"/>
      <c r="O346" s="8">
        <v>1.2230000000000001</v>
      </c>
      <c r="P346" s="8">
        <f>0.923 + 0.717 + 0.714</f>
        <v>2.3540000000000001</v>
      </c>
      <c r="Q346" s="8">
        <v>2.7370000000000001</v>
      </c>
      <c r="R346" s="8">
        <f>1.484+1.069+0.754+1.266+0.536</f>
        <v>5.109</v>
      </c>
      <c r="S346" s="8"/>
      <c r="T346" s="8"/>
      <c r="U346" s="8"/>
      <c r="V346" s="8">
        <f t="shared" si="85"/>
        <v>1.9247751430907603</v>
      </c>
      <c r="W346" s="8">
        <f>R346/Q346</f>
        <v>1.8666423090975519</v>
      </c>
      <c r="X346" s="8"/>
      <c r="Y346" s="31">
        <f t="shared" si="81"/>
        <v>-0.27777160917940324</v>
      </c>
      <c r="Z346" s="31" t="str">
        <f t="shared" si="82"/>
        <v/>
      </c>
      <c r="AA346" s="31">
        <f t="shared" si="83"/>
        <v>-0.27777160917940324</v>
      </c>
    </row>
    <row r="347" spans="1:27" x14ac:dyDescent="0.25">
      <c r="A347" s="6" t="str">
        <f t="shared" si="77"/>
        <v>complete</v>
      </c>
      <c r="C347" s="6" t="str">
        <f t="shared" si="78"/>
        <v>HC135 1491</v>
      </c>
      <c r="D347" s="6" t="s">
        <v>313</v>
      </c>
      <c r="E347" s="20">
        <v>1491</v>
      </c>
      <c r="F347" s="6" t="s">
        <v>312</v>
      </c>
      <c r="G347" s="6" t="s">
        <v>342</v>
      </c>
      <c r="H347" s="6" t="s">
        <v>977</v>
      </c>
      <c r="I347" s="8" t="s">
        <v>20</v>
      </c>
      <c r="J347" s="29">
        <v>31.313110000000002</v>
      </c>
      <c r="K347" s="8">
        <f t="shared" si="79"/>
        <v>1.4957262036361845</v>
      </c>
      <c r="L347" s="8">
        <f t="shared" si="80"/>
        <v>8.0492070456813458</v>
      </c>
      <c r="M347" s="8">
        <v>2.323</v>
      </c>
      <c r="N347" s="8">
        <f>0.516+0.906+0.666+0.675</f>
        <v>2.7629999999999999</v>
      </c>
      <c r="O347" s="8"/>
      <c r="P347" s="8"/>
      <c r="Q347" s="8">
        <v>3.0459999999999998</v>
      </c>
      <c r="R347" s="8">
        <f>0.396+1.284+1.194</f>
        <v>2.8740000000000001</v>
      </c>
      <c r="S347" s="8">
        <v>2.85</v>
      </c>
      <c r="T347" s="8">
        <f>0.601+1.258+1.299+0.504</f>
        <v>3.6619999999999999</v>
      </c>
      <c r="U347" s="8">
        <f>N347/M347</f>
        <v>1.1894102453723634</v>
      </c>
      <c r="V347" s="8"/>
      <c r="W347" s="8">
        <f>R347/Q347</f>
        <v>0.94353250164149716</v>
      </c>
      <c r="X347" s="8">
        <f>T347/S347</f>
        <v>1.2849122807017543</v>
      </c>
      <c r="Y347" s="31">
        <f t="shared" si="81"/>
        <v>-5.6632382951657907E-2</v>
      </c>
      <c r="Z347" s="31" t="str">
        <f t="shared" si="82"/>
        <v/>
      </c>
      <c r="AA347" s="31">
        <f t="shared" si="83"/>
        <v>-5.6632382951657907E-2</v>
      </c>
    </row>
    <row r="348" spans="1:27" x14ac:dyDescent="0.25">
      <c r="A348" s="6" t="str">
        <f t="shared" si="77"/>
        <v>complete</v>
      </c>
      <c r="C348" s="6" t="str">
        <f t="shared" si="78"/>
        <v>HC135 1491</v>
      </c>
      <c r="D348" s="6" t="s">
        <v>313</v>
      </c>
      <c r="E348" s="20">
        <v>1491</v>
      </c>
      <c r="F348" s="6" t="s">
        <v>312</v>
      </c>
      <c r="G348" s="6" t="s">
        <v>344</v>
      </c>
      <c r="H348" s="6" t="s">
        <v>977</v>
      </c>
      <c r="I348" s="8" t="s">
        <v>20</v>
      </c>
      <c r="J348" s="29">
        <v>11.520060000000001</v>
      </c>
      <c r="K348" s="8">
        <f t="shared" si="79"/>
        <v>1.0614547410317294</v>
      </c>
      <c r="L348" s="8">
        <f t="shared" si="80"/>
        <v>7.049260049575607</v>
      </c>
      <c r="M348" s="8">
        <v>1.147</v>
      </c>
      <c r="N348" s="8">
        <f>0.314+1.141+0.334+0.673</f>
        <v>2.4620000000000002</v>
      </c>
      <c r="O348" s="8">
        <v>2.2050000000000001</v>
      </c>
      <c r="P348" s="8">
        <f>0.522+1.465+1.187+0.743</f>
        <v>3.9170000000000003</v>
      </c>
      <c r="Q348" s="8"/>
      <c r="R348" s="8"/>
      <c r="S348" s="8"/>
      <c r="T348" s="8"/>
      <c r="U348" s="8">
        <f>N348/M348</f>
        <v>2.1464690496948564</v>
      </c>
      <c r="V348" s="8">
        <f>P348/O348</f>
        <v>1.7764172335600907</v>
      </c>
      <c r="W348" s="8"/>
      <c r="X348" s="8"/>
      <c r="Y348" s="31">
        <f t="shared" si="81"/>
        <v>-0.29257572330657461</v>
      </c>
      <c r="Z348" s="31" t="str">
        <f t="shared" si="82"/>
        <v/>
      </c>
      <c r="AA348" s="31">
        <f t="shared" si="83"/>
        <v>-0.29257572330657461</v>
      </c>
    </row>
    <row r="349" spans="1:27" x14ac:dyDescent="0.25">
      <c r="A349" s="6" t="str">
        <f t="shared" si="77"/>
        <v>complete</v>
      </c>
      <c r="C349" s="6" t="str">
        <f t="shared" si="78"/>
        <v>HC135 1491</v>
      </c>
      <c r="D349" s="6" t="s">
        <v>313</v>
      </c>
      <c r="E349" s="20">
        <v>1491</v>
      </c>
      <c r="F349" s="6" t="s">
        <v>312</v>
      </c>
      <c r="G349" s="6" t="s">
        <v>345</v>
      </c>
      <c r="H349" s="6" t="s">
        <v>977</v>
      </c>
      <c r="I349" s="8" t="s">
        <v>20</v>
      </c>
      <c r="J349" s="29">
        <v>27.866209999999999</v>
      </c>
      <c r="K349" s="8">
        <f t="shared" si="79"/>
        <v>1.4450779056342411</v>
      </c>
      <c r="L349" s="8">
        <f t="shared" si="80"/>
        <v>7.9325850297165514</v>
      </c>
      <c r="M349" s="8"/>
      <c r="N349" s="8"/>
      <c r="O349" s="8">
        <v>4.5309999999999997</v>
      </c>
      <c r="P349" s="8">
        <f>0.845 + 0.994 + 1.537 + 1.312 + 0.914 + 0.345</f>
        <v>5.9469999999999992</v>
      </c>
      <c r="Q349" s="8"/>
      <c r="R349" s="8"/>
      <c r="S349" s="8">
        <v>4.0750000000000002</v>
      </c>
      <c r="T349" s="8">
        <f>0.895 + 1.62 + 0.179 + 1.726 + 0.756</f>
        <v>5.1760000000000002</v>
      </c>
      <c r="U349" s="8"/>
      <c r="V349" s="8">
        <f>P349/O349</f>
        <v>1.3125137938644891</v>
      </c>
      <c r="W349" s="8"/>
      <c r="X349" s="8">
        <f>T349/S349</f>
        <v>1.2701840490797547</v>
      </c>
      <c r="Y349" s="31">
        <f t="shared" si="81"/>
        <v>-0.11104360415320662</v>
      </c>
      <c r="Z349" s="31" t="str">
        <f t="shared" si="82"/>
        <v/>
      </c>
      <c r="AA349" s="31">
        <f t="shared" si="83"/>
        <v>-0.11104360415320662</v>
      </c>
    </row>
    <row r="350" spans="1:27" x14ac:dyDescent="0.25">
      <c r="A350" s="6" t="str">
        <f t="shared" si="77"/>
        <v>complete</v>
      </c>
      <c r="C350" s="6" t="str">
        <f t="shared" si="78"/>
        <v>HC135 2087</v>
      </c>
      <c r="D350" s="6" t="s">
        <v>313</v>
      </c>
      <c r="E350" s="20">
        <v>2087</v>
      </c>
      <c r="G350" s="6" t="s">
        <v>346</v>
      </c>
      <c r="H350" s="6" t="s">
        <v>977</v>
      </c>
      <c r="I350" s="8" t="s">
        <v>20</v>
      </c>
      <c r="J350" s="29">
        <v>12.57227</v>
      </c>
      <c r="K350" s="8">
        <f t="shared" si="79"/>
        <v>1.0994136992824644</v>
      </c>
      <c r="L350" s="8">
        <f t="shared" si="80"/>
        <v>7.1366637809893323</v>
      </c>
      <c r="M350" s="8"/>
      <c r="N350" s="8"/>
      <c r="O350" s="8">
        <v>1.4079999999999999</v>
      </c>
      <c r="P350" s="8">
        <f>0.702 + 1.293 + 0.672</f>
        <v>2.6669999999999998</v>
      </c>
      <c r="Q350" s="8">
        <v>1.4510000000000001</v>
      </c>
      <c r="R350" s="8">
        <f>1.069 + 0.816</f>
        <v>1.8849999999999998</v>
      </c>
      <c r="S350" s="8"/>
      <c r="T350" s="8"/>
      <c r="U350" s="8"/>
      <c r="V350" s="8">
        <f>P350/O350</f>
        <v>1.8941761363636362</v>
      </c>
      <c r="W350" s="8">
        <f>R350/Q350</f>
        <v>1.2991040661612678</v>
      </c>
      <c r="X350" s="8"/>
      <c r="Y350" s="31">
        <f t="shared" si="81"/>
        <v>-0.20320703282573216</v>
      </c>
      <c r="Z350" s="31" t="str">
        <f t="shared" si="82"/>
        <v/>
      </c>
      <c r="AA350" s="31">
        <f t="shared" si="83"/>
        <v>-0.20320703282573216</v>
      </c>
    </row>
    <row r="351" spans="1:27" x14ac:dyDescent="0.25">
      <c r="A351" s="6" t="str">
        <f t="shared" si="77"/>
        <v>complete</v>
      </c>
      <c r="B351" s="6" t="s">
        <v>1192</v>
      </c>
      <c r="C351" s="6" t="str">
        <f t="shared" si="78"/>
        <v>HC14  2088</v>
      </c>
      <c r="D351" s="24" t="s">
        <v>962</v>
      </c>
      <c r="E351" s="24">
        <v>2088</v>
      </c>
      <c r="F351" s="24"/>
      <c r="G351" s="24" t="s">
        <v>988</v>
      </c>
      <c r="H351" s="22" t="s">
        <v>977</v>
      </c>
      <c r="I351" s="6" t="s">
        <v>5</v>
      </c>
      <c r="J351" s="30">
        <v>62.841999999999999</v>
      </c>
      <c r="K351" s="8">
        <f t="shared" si="79"/>
        <v>1.7982499983784683</v>
      </c>
      <c r="L351" s="8">
        <f t="shared" si="80"/>
        <v>8.7457938257309191</v>
      </c>
      <c r="M351" s="25">
        <v>3.7669999999999999</v>
      </c>
      <c r="N351" s="25">
        <f>0.782+2.519+0.954</f>
        <v>4.2549999999999999</v>
      </c>
      <c r="O351" s="23">
        <v>3.6739999999999999</v>
      </c>
      <c r="P351" s="23">
        <f>1.64+0.918+1.87+0.514</f>
        <v>4.9420000000000002</v>
      </c>
      <c r="Q351" s="25">
        <v>3.5169999999999999</v>
      </c>
      <c r="R351" s="25">
        <f>1.392+1.41+0.41+1.445+0.083+0.185+0.27</f>
        <v>5.1950000000000003</v>
      </c>
      <c r="S351" s="8"/>
      <c r="T351" s="8"/>
      <c r="U351" s="8">
        <v>1.1295460578709848</v>
      </c>
      <c r="V351" s="8">
        <v>1.3451279259662494</v>
      </c>
      <c r="W351" s="8">
        <v>1.4771111742962753</v>
      </c>
      <c r="X351" s="8"/>
      <c r="Y351" s="31">
        <f t="shared" si="81"/>
        <v>-0.119672071081216</v>
      </c>
      <c r="Z351" s="31" t="str">
        <f t="shared" si="82"/>
        <v/>
      </c>
      <c r="AA351" s="31">
        <f t="shared" si="83"/>
        <v>-0.119672071081216</v>
      </c>
    </row>
    <row r="352" spans="1:27" x14ac:dyDescent="0.25">
      <c r="A352" s="6" t="str">
        <f t="shared" si="77"/>
        <v>complete</v>
      </c>
      <c r="B352" s="6" t="s">
        <v>1192</v>
      </c>
      <c r="C352" s="6" t="str">
        <f t="shared" si="78"/>
        <v>HC14  2088</v>
      </c>
      <c r="D352" s="22" t="s">
        <v>962</v>
      </c>
      <c r="E352" s="24">
        <v>2088</v>
      </c>
      <c r="F352" s="24"/>
      <c r="G352" s="22" t="s">
        <v>989</v>
      </c>
      <c r="H352" s="22" t="s">
        <v>977</v>
      </c>
      <c r="I352" s="6" t="s">
        <v>5</v>
      </c>
      <c r="J352" s="30">
        <v>20.597999999999999</v>
      </c>
      <c r="K352" s="8">
        <f t="shared" si="79"/>
        <v>1.3138250538093936</v>
      </c>
      <c r="L352" s="8">
        <f t="shared" si="80"/>
        <v>7.6303641696917008</v>
      </c>
      <c r="M352" s="23"/>
      <c r="N352" s="23"/>
      <c r="O352" s="23">
        <v>0.70499999999999996</v>
      </c>
      <c r="P352" s="23">
        <f>0.646+0.779+0.216</f>
        <v>1.641</v>
      </c>
      <c r="Q352" s="23">
        <v>1.107</v>
      </c>
      <c r="R352" s="23">
        <f>1.067+0.935</f>
        <v>2.0019999999999998</v>
      </c>
      <c r="S352" s="8"/>
      <c r="T352" s="8"/>
      <c r="U352" s="8"/>
      <c r="V352" s="8">
        <v>2.3276595744680852</v>
      </c>
      <c r="W352" s="8">
        <v>1.8084914182475156</v>
      </c>
      <c r="X352" s="8"/>
      <c r="Y352" s="31">
        <f t="shared" si="81"/>
        <v>-0.31556638889633559</v>
      </c>
      <c r="Z352" s="31" t="str">
        <f t="shared" si="82"/>
        <v/>
      </c>
      <c r="AA352" s="31">
        <f t="shared" si="83"/>
        <v>-0.31556638889633559</v>
      </c>
    </row>
    <row r="353" spans="1:27" x14ac:dyDescent="0.25">
      <c r="A353" s="6" t="str">
        <f t="shared" si="77"/>
        <v>fragment</v>
      </c>
      <c r="B353" s="6" t="s">
        <v>1192</v>
      </c>
      <c r="C353" s="6" t="str">
        <f t="shared" si="78"/>
        <v>HC14 430</v>
      </c>
      <c r="D353" s="24" t="s">
        <v>963</v>
      </c>
      <c r="E353" s="24">
        <v>430</v>
      </c>
      <c r="F353" s="24"/>
      <c r="G353" s="22" t="s">
        <v>990</v>
      </c>
      <c r="H353" s="22" t="s">
        <v>977</v>
      </c>
      <c r="I353" s="6" t="s">
        <v>5</v>
      </c>
      <c r="J353" s="30"/>
      <c r="K353" s="8" t="str">
        <f t="shared" si="79"/>
        <v/>
      </c>
      <c r="L353" s="8" t="str">
        <f t="shared" si="80"/>
        <v/>
      </c>
      <c r="M353" s="23"/>
      <c r="N353" s="23"/>
      <c r="O353" s="23">
        <v>1.044</v>
      </c>
      <c r="P353" s="23">
        <f>0.957+0.362+0.947+0.274</f>
        <v>2.54</v>
      </c>
      <c r="Q353" s="23">
        <v>0.73</v>
      </c>
      <c r="R353" s="23">
        <f>0.63+0.614</f>
        <v>1.244</v>
      </c>
      <c r="S353" s="8"/>
      <c r="T353" s="8"/>
      <c r="U353" s="8"/>
      <c r="V353" s="8">
        <v>2.4329501915708813</v>
      </c>
      <c r="W353" s="8">
        <v>1.704109589041096</v>
      </c>
      <c r="X353" s="8"/>
      <c r="Y353" s="31">
        <f t="shared" si="81"/>
        <v>-0.31566180084243917</v>
      </c>
      <c r="Z353" s="31">
        <f t="shared" si="82"/>
        <v>-0.31566180084243917</v>
      </c>
      <c r="AA353" s="31" t="str">
        <f t="shared" si="83"/>
        <v/>
      </c>
    </row>
    <row r="354" spans="1:27" x14ac:dyDescent="0.25">
      <c r="A354" s="6" t="str">
        <f t="shared" si="77"/>
        <v>fragment</v>
      </c>
      <c r="B354" s="6" t="s">
        <v>1192</v>
      </c>
      <c r="C354" s="6" t="str">
        <f t="shared" si="78"/>
        <v>HC14 572</v>
      </c>
      <c r="D354" s="22" t="s">
        <v>963</v>
      </c>
      <c r="E354" s="22">
        <v>572</v>
      </c>
      <c r="F354" s="22"/>
      <c r="G354" s="22" t="s">
        <v>991</v>
      </c>
      <c r="H354" s="22" t="s">
        <v>977</v>
      </c>
      <c r="I354" s="6" t="s">
        <v>5</v>
      </c>
      <c r="J354" s="30"/>
      <c r="K354" s="8" t="str">
        <f t="shared" si="79"/>
        <v/>
      </c>
      <c r="L354" s="8" t="str">
        <f t="shared" si="80"/>
        <v/>
      </c>
      <c r="M354" s="23">
        <v>2.6920000000000002</v>
      </c>
      <c r="N354" s="23">
        <f>0.804+1.973+0.256</f>
        <v>3.0330000000000004</v>
      </c>
      <c r="O354" s="23">
        <v>2.9249999999999998</v>
      </c>
      <c r="P354" s="23">
        <f>1.929+0.821</f>
        <v>2.75</v>
      </c>
      <c r="Q354" s="23">
        <v>3.0329999999999999</v>
      </c>
      <c r="R354" s="23">
        <f>1.342+1.232</f>
        <v>2.5739999999999998</v>
      </c>
      <c r="S354" s="8"/>
      <c r="T354" s="8"/>
      <c r="U354" s="8">
        <v>1.1266716196136701</v>
      </c>
      <c r="V354" s="8">
        <v>0.94017094017094027</v>
      </c>
      <c r="W354" s="8">
        <v>0.8486646884272997</v>
      </c>
      <c r="X354" s="8"/>
      <c r="Y354" s="31">
        <f t="shared" si="81"/>
        <v>1.2407129266312669E-2</v>
      </c>
      <c r="Z354" s="31">
        <f t="shared" si="82"/>
        <v>1.2407129266312669E-2</v>
      </c>
      <c r="AA354" s="31" t="str">
        <f t="shared" si="83"/>
        <v/>
      </c>
    </row>
    <row r="355" spans="1:27" x14ac:dyDescent="0.25">
      <c r="A355" s="6" t="str">
        <f t="shared" si="77"/>
        <v>fragment</v>
      </c>
      <c r="B355" s="6" t="s">
        <v>1192</v>
      </c>
      <c r="C355" s="6" t="str">
        <f t="shared" si="78"/>
        <v>HC14 572</v>
      </c>
      <c r="D355" s="24" t="s">
        <v>963</v>
      </c>
      <c r="E355" s="22">
        <v>572</v>
      </c>
      <c r="F355" s="22"/>
      <c r="G355" s="22" t="s">
        <v>992</v>
      </c>
      <c r="H355" s="22" t="s">
        <v>977</v>
      </c>
      <c r="I355" s="6" t="s">
        <v>5</v>
      </c>
      <c r="J355" s="30"/>
      <c r="K355" s="8" t="str">
        <f t="shared" si="79"/>
        <v/>
      </c>
      <c r="L355" s="8" t="str">
        <f t="shared" si="80"/>
        <v/>
      </c>
      <c r="M355" s="23"/>
      <c r="N355" s="23"/>
      <c r="O355" s="25"/>
      <c r="P355" s="25"/>
      <c r="Q355" s="25">
        <v>5.7729999999999997</v>
      </c>
      <c r="R355" s="25">
        <f>1.747+1.752+1.751</f>
        <v>5.25</v>
      </c>
      <c r="S355" s="8"/>
      <c r="T355" s="8"/>
      <c r="U355" s="8"/>
      <c r="V355" s="8"/>
      <c r="W355" s="8">
        <v>0.9094058548415036</v>
      </c>
      <c r="X355" s="8"/>
      <c r="Y355" s="31">
        <f t="shared" si="81"/>
        <v>4.124225409267409E-2</v>
      </c>
      <c r="Z355" s="31">
        <f t="shared" si="82"/>
        <v>4.124225409267409E-2</v>
      </c>
      <c r="AA355" s="31" t="str">
        <f t="shared" si="83"/>
        <v/>
      </c>
    </row>
    <row r="356" spans="1:27" x14ac:dyDescent="0.25">
      <c r="A356" s="6" t="str">
        <f t="shared" si="77"/>
        <v>fragment</v>
      </c>
      <c r="B356" s="6" t="s">
        <v>1192</v>
      </c>
      <c r="C356" s="6" t="str">
        <f t="shared" si="78"/>
        <v>HC14 572</v>
      </c>
      <c r="D356" s="22" t="s">
        <v>963</v>
      </c>
      <c r="E356" s="22">
        <v>572</v>
      </c>
      <c r="F356" s="22"/>
      <c r="G356" s="22" t="s">
        <v>993</v>
      </c>
      <c r="H356" s="22" t="s">
        <v>977</v>
      </c>
      <c r="I356" s="6" t="s">
        <v>5</v>
      </c>
      <c r="J356" s="30"/>
      <c r="K356" s="8" t="str">
        <f t="shared" si="79"/>
        <v/>
      </c>
      <c r="L356" s="8" t="str">
        <f t="shared" si="80"/>
        <v/>
      </c>
      <c r="M356" s="25"/>
      <c r="N356" s="25"/>
      <c r="O356" s="25">
        <v>2.1579999999999999</v>
      </c>
      <c r="P356" s="25">
        <f>1.157+0.594+1.171+1.259</f>
        <v>4.1809999999999992</v>
      </c>
      <c r="Q356" s="25">
        <v>1.83</v>
      </c>
      <c r="R356" s="25">
        <f>1.046+0.446+1.187+0.205+1.158+0.168</f>
        <v>4.21</v>
      </c>
      <c r="S356" s="8"/>
      <c r="T356" s="8"/>
      <c r="U356" s="8"/>
      <c r="V356" s="8">
        <v>1.9374420759962925</v>
      </c>
      <c r="W356" s="8">
        <v>2.3005464480874318</v>
      </c>
      <c r="X356" s="8"/>
      <c r="Y356" s="31">
        <f t="shared" si="81"/>
        <v>-0.32612978069997317</v>
      </c>
      <c r="Z356" s="31">
        <f t="shared" si="82"/>
        <v>-0.32612978069997317</v>
      </c>
      <c r="AA356" s="31" t="str">
        <f t="shared" si="83"/>
        <v/>
      </c>
    </row>
    <row r="357" spans="1:27" x14ac:dyDescent="0.25">
      <c r="A357" s="6" t="str">
        <f t="shared" si="77"/>
        <v>fragment</v>
      </c>
      <c r="B357" s="6" t="s">
        <v>1192</v>
      </c>
      <c r="C357" s="6" t="str">
        <f t="shared" si="78"/>
        <v>HC14 572</v>
      </c>
      <c r="D357" s="24" t="s">
        <v>963</v>
      </c>
      <c r="E357" s="22">
        <v>572</v>
      </c>
      <c r="F357" s="22"/>
      <c r="G357" s="22" t="s">
        <v>994</v>
      </c>
      <c r="H357" s="22" t="s">
        <v>977</v>
      </c>
      <c r="I357" s="6" t="s">
        <v>5</v>
      </c>
      <c r="J357" s="30"/>
      <c r="K357" s="8" t="str">
        <f t="shared" si="79"/>
        <v/>
      </c>
      <c r="L357" s="8" t="str">
        <f t="shared" si="80"/>
        <v/>
      </c>
      <c r="M357" s="23"/>
      <c r="N357" s="23"/>
      <c r="O357" s="23"/>
      <c r="P357" s="23"/>
      <c r="Q357" s="23">
        <v>3.4</v>
      </c>
      <c r="R357" s="23">
        <f>1.641+1.509</f>
        <v>3.15</v>
      </c>
      <c r="S357" s="8"/>
      <c r="T357" s="8"/>
      <c r="U357" s="8"/>
      <c r="V357" s="8"/>
      <c r="W357" s="8">
        <v>0.92647058823529416</v>
      </c>
      <c r="X357" s="8"/>
      <c r="Y357" s="31">
        <f t="shared" si="81"/>
        <v>3.3168363252654591E-2</v>
      </c>
      <c r="Z357" s="31">
        <f t="shared" si="82"/>
        <v>3.3168363252654591E-2</v>
      </c>
      <c r="AA357" s="31" t="str">
        <f t="shared" si="83"/>
        <v/>
      </c>
    </row>
    <row r="358" spans="1:27" x14ac:dyDescent="0.25">
      <c r="A358" s="6" t="str">
        <f t="shared" si="77"/>
        <v>fragment</v>
      </c>
      <c r="B358" s="6" t="s">
        <v>1192</v>
      </c>
      <c r="C358" s="6" t="str">
        <f t="shared" si="78"/>
        <v>HC14 572</v>
      </c>
      <c r="D358" s="22" t="s">
        <v>963</v>
      </c>
      <c r="E358" s="22">
        <v>572</v>
      </c>
      <c r="F358" s="22"/>
      <c r="G358" s="22" t="s">
        <v>995</v>
      </c>
      <c r="H358" s="22" t="s">
        <v>977</v>
      </c>
      <c r="I358" s="6" t="s">
        <v>5</v>
      </c>
      <c r="J358" s="30"/>
      <c r="K358" s="8" t="str">
        <f t="shared" si="79"/>
        <v/>
      </c>
      <c r="L358" s="8" t="str">
        <f t="shared" si="80"/>
        <v/>
      </c>
      <c r="M358" s="23"/>
      <c r="N358" s="23"/>
      <c r="O358" s="23">
        <v>0.85699999999999998</v>
      </c>
      <c r="P358" s="23">
        <f>1.031+0.861+0.184</f>
        <v>2.0760000000000001</v>
      </c>
      <c r="Q358" s="23">
        <v>1.1890000000000001</v>
      </c>
      <c r="R358" s="23">
        <f>0.914+0.74</f>
        <v>1.6539999999999999</v>
      </c>
      <c r="S358" s="8"/>
      <c r="T358" s="8"/>
      <c r="U358" s="8"/>
      <c r="V358" s="8">
        <v>2.4224037339556594</v>
      </c>
      <c r="W358" s="8">
        <v>1.3910849453322118</v>
      </c>
      <c r="X358" s="8"/>
      <c r="Y358" s="31">
        <f t="shared" si="81"/>
        <v>-0.28029246581724659</v>
      </c>
      <c r="Z358" s="31">
        <f t="shared" si="82"/>
        <v>-0.28029246581724659</v>
      </c>
      <c r="AA358" s="31" t="str">
        <f t="shared" si="83"/>
        <v/>
      </c>
    </row>
    <row r="359" spans="1:27" x14ac:dyDescent="0.25">
      <c r="A359" s="6" t="str">
        <f t="shared" si="77"/>
        <v>fragment</v>
      </c>
      <c r="B359" s="6" t="s">
        <v>1192</v>
      </c>
      <c r="C359" s="6" t="str">
        <f t="shared" si="78"/>
        <v>HC14 572</v>
      </c>
      <c r="D359" s="24" t="s">
        <v>963</v>
      </c>
      <c r="E359" s="22">
        <v>572</v>
      </c>
      <c r="F359" s="22"/>
      <c r="G359" s="22" t="s">
        <v>996</v>
      </c>
      <c r="H359" s="22" t="s">
        <v>977</v>
      </c>
      <c r="I359" s="6" t="s">
        <v>5</v>
      </c>
      <c r="J359" s="30"/>
      <c r="K359" s="8" t="str">
        <f t="shared" si="79"/>
        <v/>
      </c>
      <c r="L359" s="8" t="str">
        <f t="shared" si="80"/>
        <v/>
      </c>
      <c r="M359" s="23"/>
      <c r="N359" s="23"/>
      <c r="O359" s="23"/>
      <c r="P359" s="23"/>
      <c r="Q359" s="23">
        <v>0.311</v>
      </c>
      <c r="R359" s="23">
        <f>0.199+0.66+0.233</f>
        <v>1.0920000000000001</v>
      </c>
      <c r="S359" s="8"/>
      <c r="T359" s="8"/>
      <c r="U359" s="8"/>
      <c r="V359" s="8"/>
      <c r="W359" s="8">
        <v>3.5112540192926049</v>
      </c>
      <c r="X359" s="8"/>
      <c r="Y359" s="31">
        <f t="shared" si="81"/>
        <v>-0.54546224934188092</v>
      </c>
      <c r="Z359" s="31">
        <f t="shared" si="82"/>
        <v>-0.54546224934188092</v>
      </c>
      <c r="AA359" s="31" t="str">
        <f t="shared" si="83"/>
        <v/>
      </c>
    </row>
    <row r="360" spans="1:27" x14ac:dyDescent="0.25">
      <c r="A360" s="6" t="str">
        <f t="shared" si="77"/>
        <v>fragment</v>
      </c>
      <c r="B360" s="6" t="s">
        <v>1192</v>
      </c>
      <c r="C360" s="6" t="str">
        <f t="shared" si="78"/>
        <v>HC14 572</v>
      </c>
      <c r="D360" s="22" t="s">
        <v>963</v>
      </c>
      <c r="E360" s="22">
        <v>572</v>
      </c>
      <c r="F360" s="22"/>
      <c r="G360" s="22" t="s">
        <v>997</v>
      </c>
      <c r="H360" s="22" t="s">
        <v>977</v>
      </c>
      <c r="I360" s="6" t="s">
        <v>5</v>
      </c>
      <c r="J360" s="30"/>
      <c r="K360" s="8" t="str">
        <f t="shared" si="79"/>
        <v/>
      </c>
      <c r="L360" s="8" t="str">
        <f t="shared" si="80"/>
        <v/>
      </c>
      <c r="M360" s="23">
        <v>0.93500000000000005</v>
      </c>
      <c r="N360" s="23">
        <f>1.38+0.279</f>
        <v>1.6589999999999998</v>
      </c>
      <c r="O360" s="23">
        <v>0.65500000000000003</v>
      </c>
      <c r="P360" s="23">
        <f>0.575+0.663+0.4</f>
        <v>1.6379999999999999</v>
      </c>
      <c r="Q360" s="23">
        <v>0.51600000000000001</v>
      </c>
      <c r="R360" s="23">
        <f>0.547+0.573</f>
        <v>1.1200000000000001</v>
      </c>
      <c r="S360" s="8"/>
      <c r="T360" s="8"/>
      <c r="U360" s="8">
        <v>1.7743315508021387</v>
      </c>
      <c r="V360" s="8">
        <v>2.5007633587786255</v>
      </c>
      <c r="W360" s="8">
        <v>2.170542635658915</v>
      </c>
      <c r="X360" s="8"/>
      <c r="Y360" s="31">
        <f t="shared" si="81"/>
        <v>-0.33214462564869368</v>
      </c>
      <c r="Z360" s="31">
        <f t="shared" si="82"/>
        <v>-0.33214462564869368</v>
      </c>
      <c r="AA360" s="31" t="str">
        <f t="shared" si="83"/>
        <v/>
      </c>
    </row>
    <row r="361" spans="1:27" x14ac:dyDescent="0.25">
      <c r="A361" s="6" t="str">
        <f t="shared" si="77"/>
        <v>complete</v>
      </c>
      <c r="B361" s="6" t="s">
        <v>1192</v>
      </c>
      <c r="C361" s="6" t="str">
        <f t="shared" si="78"/>
        <v>HC14 572</v>
      </c>
      <c r="D361" s="24" t="s">
        <v>963</v>
      </c>
      <c r="E361" s="22">
        <v>572</v>
      </c>
      <c r="F361" s="22"/>
      <c r="G361" s="22" t="s">
        <v>998</v>
      </c>
      <c r="H361" s="22" t="s">
        <v>977</v>
      </c>
      <c r="I361" s="6" t="s">
        <v>5</v>
      </c>
      <c r="J361" s="30">
        <v>44.454000000000001</v>
      </c>
      <c r="K361" s="8">
        <f t="shared" si="79"/>
        <v>1.647910845166054</v>
      </c>
      <c r="L361" s="8">
        <f t="shared" si="80"/>
        <v>8.3996251326506659</v>
      </c>
      <c r="M361" s="23">
        <v>1.454</v>
      </c>
      <c r="N361" s="23">
        <f>1.742+0.917</f>
        <v>2.6589999999999998</v>
      </c>
      <c r="O361" s="23">
        <v>1.752</v>
      </c>
      <c r="P361" s="23">
        <f>1.602+0.821</f>
        <v>2.423</v>
      </c>
      <c r="Q361" s="23">
        <v>1.679</v>
      </c>
      <c r="R361" s="23">
        <f>1.094+0.612+0.843+1.168</f>
        <v>3.7169999999999996</v>
      </c>
      <c r="S361" s="8"/>
      <c r="T361" s="8"/>
      <c r="U361" s="8">
        <v>1.8287482806052269</v>
      </c>
      <c r="V361" s="8">
        <v>1.3829908675799087</v>
      </c>
      <c r="W361" s="8">
        <v>2.2138177486599164</v>
      </c>
      <c r="X361" s="8"/>
      <c r="Y361" s="31">
        <f t="shared" si="81"/>
        <v>-0.25732306749009615</v>
      </c>
      <c r="Z361" s="31" t="str">
        <f t="shared" si="82"/>
        <v/>
      </c>
      <c r="AA361" s="31">
        <f t="shared" si="83"/>
        <v>-0.25732306749009615</v>
      </c>
    </row>
    <row r="362" spans="1:27" x14ac:dyDescent="0.25">
      <c r="A362" s="6" t="str">
        <f t="shared" si="77"/>
        <v>fragment</v>
      </c>
      <c r="B362" s="6" t="s">
        <v>1192</v>
      </c>
      <c r="C362" s="6" t="str">
        <f t="shared" si="78"/>
        <v>HC14 572</v>
      </c>
      <c r="D362" s="22" t="s">
        <v>963</v>
      </c>
      <c r="E362" s="22">
        <v>572</v>
      </c>
      <c r="F362" s="22"/>
      <c r="G362" s="22" t="s">
        <v>999</v>
      </c>
      <c r="H362" s="22" t="s">
        <v>977</v>
      </c>
      <c r="I362" s="6" t="s">
        <v>5</v>
      </c>
      <c r="J362" s="30"/>
      <c r="K362" s="8" t="str">
        <f t="shared" si="79"/>
        <v/>
      </c>
      <c r="L362" s="8" t="str">
        <f t="shared" si="80"/>
        <v/>
      </c>
      <c r="M362" s="23">
        <v>1.002</v>
      </c>
      <c r="N362" s="23">
        <f>0.792+0.623</f>
        <v>1.415</v>
      </c>
      <c r="O362" s="23">
        <v>0.65300000000000002</v>
      </c>
      <c r="P362" s="23">
        <f>0.295+0.622+0.539+0.367</f>
        <v>1.823</v>
      </c>
      <c r="Q362" s="23">
        <v>0.96899999999999997</v>
      </c>
      <c r="R362" s="23">
        <f>0.73+0.521+0.748+0.052+0.737+0.327</f>
        <v>3.1149999999999998</v>
      </c>
      <c r="S362" s="8"/>
      <c r="T362" s="8"/>
      <c r="U362" s="8">
        <v>1.4121756487025949</v>
      </c>
      <c r="V362" s="8">
        <v>2.791730474732006</v>
      </c>
      <c r="W362" s="8">
        <v>3.2146542827657378</v>
      </c>
      <c r="X362" s="8"/>
      <c r="Y362" s="31">
        <f t="shared" si="81"/>
        <v>-0.39319838259424916</v>
      </c>
      <c r="Z362" s="31">
        <f t="shared" si="82"/>
        <v>-0.39319838259424916</v>
      </c>
      <c r="AA362" s="31" t="str">
        <f t="shared" si="83"/>
        <v/>
      </c>
    </row>
    <row r="363" spans="1:27" x14ac:dyDescent="0.25">
      <c r="A363" s="6" t="str">
        <f t="shared" si="77"/>
        <v>complete</v>
      </c>
      <c r="B363" s="6" t="s">
        <v>1192</v>
      </c>
      <c r="C363" s="6" t="str">
        <f t="shared" si="78"/>
        <v>HC14 572</v>
      </c>
      <c r="D363" s="24" t="s">
        <v>963</v>
      </c>
      <c r="E363" s="22">
        <v>572</v>
      </c>
      <c r="F363" s="22"/>
      <c r="G363" s="22" t="s">
        <v>1000</v>
      </c>
      <c r="H363" s="22" t="s">
        <v>977</v>
      </c>
      <c r="I363" s="6" t="s">
        <v>5</v>
      </c>
      <c r="J363" s="30">
        <f>8.511*2</f>
        <v>17.021999999999998</v>
      </c>
      <c r="K363" s="8">
        <f t="shared" si="79"/>
        <v>1.2310105861794958</v>
      </c>
      <c r="L363" s="8">
        <f t="shared" si="80"/>
        <v>7.4396768110428608</v>
      </c>
      <c r="M363" s="23"/>
      <c r="N363" s="23"/>
      <c r="O363" s="23"/>
      <c r="P363" s="23"/>
      <c r="Q363" s="23">
        <v>1.5620000000000001</v>
      </c>
      <c r="R363" s="23">
        <f>1.005+0.965+0.369</f>
        <v>2.3389999999999995</v>
      </c>
      <c r="S363" s="8"/>
      <c r="T363" s="8"/>
      <c r="U363" s="8"/>
      <c r="V363" s="8"/>
      <c r="W363" s="8">
        <v>1.4974391805377718</v>
      </c>
      <c r="X363" s="8"/>
      <c r="Y363" s="31">
        <f t="shared" si="81"/>
        <v>-0.17534919226787141</v>
      </c>
      <c r="Z363" s="31" t="str">
        <f t="shared" si="82"/>
        <v/>
      </c>
      <c r="AA363" s="31">
        <f t="shared" si="83"/>
        <v>-0.17534919226787141</v>
      </c>
    </row>
    <row r="364" spans="1:27" x14ac:dyDescent="0.25">
      <c r="A364" s="6" t="str">
        <f t="shared" si="77"/>
        <v>complete</v>
      </c>
      <c r="B364" s="6" t="s">
        <v>1192</v>
      </c>
      <c r="C364" s="6" t="str">
        <f t="shared" si="78"/>
        <v>HC14 572</v>
      </c>
      <c r="D364" s="22" t="s">
        <v>963</v>
      </c>
      <c r="E364" s="22">
        <v>572</v>
      </c>
      <c r="F364" s="22"/>
      <c r="G364" s="22" t="s">
        <v>1001</v>
      </c>
      <c r="H364" s="22" t="s">
        <v>977</v>
      </c>
      <c r="I364" s="6" t="s">
        <v>5</v>
      </c>
      <c r="J364" s="30">
        <v>18.471</v>
      </c>
      <c r="K364" s="8">
        <f t="shared" si="79"/>
        <v>1.2664904083111441</v>
      </c>
      <c r="L364" s="8">
        <f t="shared" si="80"/>
        <v>7.5213721205852737</v>
      </c>
      <c r="M364" s="23"/>
      <c r="N364" s="23"/>
      <c r="O364" s="25"/>
      <c r="P364" s="25"/>
      <c r="Q364" s="23">
        <v>1.242</v>
      </c>
      <c r="R364" s="23">
        <f>0.806+0.983+0.521+0.796+0.355</f>
        <v>3.4609999999999999</v>
      </c>
      <c r="S364" s="8"/>
      <c r="T364" s="8"/>
      <c r="U364" s="8"/>
      <c r="V364" s="8"/>
      <c r="W364" s="8">
        <v>2.786634460547504</v>
      </c>
      <c r="X364" s="8"/>
      <c r="Y364" s="31">
        <f t="shared" si="81"/>
        <v>-0.4450800034535663</v>
      </c>
      <c r="Z364" s="31" t="str">
        <f t="shared" si="82"/>
        <v/>
      </c>
      <c r="AA364" s="31">
        <f t="shared" si="83"/>
        <v>-0.4450800034535663</v>
      </c>
    </row>
    <row r="365" spans="1:27" x14ac:dyDescent="0.25">
      <c r="A365" s="6" t="str">
        <f t="shared" si="77"/>
        <v>complete</v>
      </c>
      <c r="B365" s="6" t="s">
        <v>1192</v>
      </c>
      <c r="C365" s="6" t="str">
        <f t="shared" si="78"/>
        <v>HC14 572</v>
      </c>
      <c r="D365" s="24" t="s">
        <v>963</v>
      </c>
      <c r="E365" s="22">
        <v>572</v>
      </c>
      <c r="F365" s="22"/>
      <c r="G365" s="22" t="s">
        <v>1002</v>
      </c>
      <c r="H365" s="22" t="s">
        <v>977</v>
      </c>
      <c r="I365" s="6" t="s">
        <v>5</v>
      </c>
      <c r="J365" s="30">
        <f>9.535*2</f>
        <v>19.07</v>
      </c>
      <c r="K365" s="8">
        <f t="shared" si="79"/>
        <v>1.2803506930460056</v>
      </c>
      <c r="L365" s="8">
        <f t="shared" si="80"/>
        <v>7.5532866056004186</v>
      </c>
      <c r="M365" s="23">
        <v>1.026</v>
      </c>
      <c r="N365" s="23">
        <f>1.047+0.115+0.778</f>
        <v>1.94</v>
      </c>
      <c r="O365" s="23">
        <v>0.92600000000000005</v>
      </c>
      <c r="P365" s="23">
        <f>0.92+0.212+0.807+0.773</f>
        <v>2.7120000000000002</v>
      </c>
      <c r="Q365" s="23">
        <v>0.84599999999999997</v>
      </c>
      <c r="R365" s="23">
        <f>0.753+0.861+0.466+0.604</f>
        <v>2.6840000000000002</v>
      </c>
      <c r="S365" s="8"/>
      <c r="T365" s="8"/>
      <c r="U365" s="8">
        <v>1.8908382066276803</v>
      </c>
      <c r="V365" s="8">
        <v>2.9287257019438444</v>
      </c>
      <c r="W365" s="8">
        <v>3.1725768321513006</v>
      </c>
      <c r="X365" s="8"/>
      <c r="Y365" s="31">
        <f t="shared" si="81"/>
        <v>-0.42554186844384834</v>
      </c>
      <c r="Z365" s="31" t="str">
        <f t="shared" si="82"/>
        <v/>
      </c>
      <c r="AA365" s="31">
        <f t="shared" si="83"/>
        <v>-0.42554186844384834</v>
      </c>
    </row>
    <row r="366" spans="1:27" x14ac:dyDescent="0.25">
      <c r="A366" s="6" t="str">
        <f t="shared" si="77"/>
        <v>fragment</v>
      </c>
      <c r="B366" s="6" t="s">
        <v>1192</v>
      </c>
      <c r="C366" s="6" t="str">
        <f t="shared" si="78"/>
        <v>HC14 572</v>
      </c>
      <c r="D366" s="22" t="s">
        <v>963</v>
      </c>
      <c r="E366" s="22">
        <v>572</v>
      </c>
      <c r="F366" s="22"/>
      <c r="G366" s="22" t="s">
        <v>1003</v>
      </c>
      <c r="H366" s="22" t="s">
        <v>977</v>
      </c>
      <c r="I366" s="6" t="s">
        <v>5</v>
      </c>
      <c r="J366" s="30"/>
      <c r="K366" s="8" t="str">
        <f t="shared" si="79"/>
        <v/>
      </c>
      <c r="L366" s="8" t="str">
        <f t="shared" si="80"/>
        <v/>
      </c>
      <c r="M366" s="23"/>
      <c r="N366" s="23"/>
      <c r="O366" s="23">
        <v>3.3490000000000002</v>
      </c>
      <c r="P366" s="23">
        <f>1.264+1.527+0.465+0.336</f>
        <v>3.5919999999999996</v>
      </c>
      <c r="Q366" s="23">
        <v>2.4940000000000002</v>
      </c>
      <c r="R366" s="23">
        <f>1.491+1.087</f>
        <v>2.5780000000000003</v>
      </c>
      <c r="S366" s="8"/>
      <c r="T366" s="8"/>
      <c r="U366" s="8"/>
      <c r="V366" s="8">
        <v>1.0725589728277096</v>
      </c>
      <c r="W366" s="8">
        <v>1.0336808340016039</v>
      </c>
      <c r="X366" s="8"/>
      <c r="Y366" s="31">
        <f t="shared" si="81"/>
        <v>-2.2477820783601617E-2</v>
      </c>
      <c r="Z366" s="31">
        <f t="shared" si="82"/>
        <v>-2.2477820783601617E-2</v>
      </c>
      <c r="AA366" s="31" t="str">
        <f t="shared" si="83"/>
        <v/>
      </c>
    </row>
    <row r="367" spans="1:27" x14ac:dyDescent="0.25">
      <c r="A367" s="6" t="str">
        <f t="shared" si="77"/>
        <v>fragment</v>
      </c>
      <c r="B367" s="6" t="s">
        <v>1192</v>
      </c>
      <c r="C367" s="6" t="str">
        <f t="shared" si="78"/>
        <v>HC14 572</v>
      </c>
      <c r="D367" s="24" t="s">
        <v>963</v>
      </c>
      <c r="E367" s="22">
        <v>572</v>
      </c>
      <c r="F367" s="22"/>
      <c r="G367" s="22" t="s">
        <v>1004</v>
      </c>
      <c r="H367" s="22" t="s">
        <v>977</v>
      </c>
      <c r="I367" s="6" t="s">
        <v>5</v>
      </c>
      <c r="J367" s="30"/>
      <c r="K367" s="8" t="str">
        <f t="shared" si="79"/>
        <v/>
      </c>
      <c r="L367" s="8" t="str">
        <f t="shared" si="80"/>
        <v/>
      </c>
      <c r="M367" s="23">
        <v>1.5229999999999999</v>
      </c>
      <c r="N367" s="23">
        <f>0.696+0.706</f>
        <v>1.4019999999999999</v>
      </c>
      <c r="O367" s="23">
        <v>1.319</v>
      </c>
      <c r="P367" s="23">
        <f>0.936+0.943</f>
        <v>1.879</v>
      </c>
      <c r="Q367" s="23">
        <v>2.125</v>
      </c>
      <c r="R367" s="23">
        <f>1.251+1.318+0.163+0.437</f>
        <v>3.1689999999999996</v>
      </c>
      <c r="S367" s="8"/>
      <c r="T367" s="8"/>
      <c r="U367" s="8">
        <v>0.92055154300722264</v>
      </c>
      <c r="V367" s="8">
        <v>1.4245640636846095</v>
      </c>
      <c r="W367" s="8">
        <v>1.4912941176470587</v>
      </c>
      <c r="X367" s="8"/>
      <c r="Y367" s="31">
        <f t="shared" si="81"/>
        <v>-0.10680372842890901</v>
      </c>
      <c r="Z367" s="31">
        <f t="shared" si="82"/>
        <v>-0.10680372842890901</v>
      </c>
      <c r="AA367" s="31" t="str">
        <f t="shared" si="83"/>
        <v/>
      </c>
    </row>
    <row r="368" spans="1:27" x14ac:dyDescent="0.25">
      <c r="A368" s="6" t="str">
        <f t="shared" si="77"/>
        <v>fragment</v>
      </c>
      <c r="B368" s="6" t="s">
        <v>1192</v>
      </c>
      <c r="C368" s="6" t="str">
        <f t="shared" si="78"/>
        <v>HC14 572</v>
      </c>
      <c r="D368" s="22" t="s">
        <v>963</v>
      </c>
      <c r="E368" s="22">
        <v>572</v>
      </c>
      <c r="F368" s="22"/>
      <c r="G368" s="22" t="s">
        <v>1005</v>
      </c>
      <c r="H368" s="22" t="s">
        <v>977</v>
      </c>
      <c r="I368" s="6" t="s">
        <v>5</v>
      </c>
      <c r="J368" s="30"/>
      <c r="K368" s="8" t="str">
        <f t="shared" si="79"/>
        <v/>
      </c>
      <c r="L368" s="8" t="str">
        <f t="shared" si="80"/>
        <v/>
      </c>
      <c r="M368" s="25"/>
      <c r="N368" s="25"/>
      <c r="O368" s="25">
        <v>1.615</v>
      </c>
      <c r="P368" s="25">
        <f>1.368+0.612</f>
        <v>1.98</v>
      </c>
      <c r="Q368" s="25">
        <v>4.657</v>
      </c>
      <c r="R368" s="25">
        <f>1.146+1.914+1.208</f>
        <v>4.2679999999999998</v>
      </c>
      <c r="S368" s="8"/>
      <c r="T368" s="8"/>
      <c r="U368" s="8"/>
      <c r="V368" s="8">
        <v>1.2260061919504643</v>
      </c>
      <c r="W368" s="8">
        <v>0.91646983036289453</v>
      </c>
      <c r="X368" s="8"/>
      <c r="Y368" s="31">
        <f t="shared" si="81"/>
        <v>-2.9885974518060701E-2</v>
      </c>
      <c r="Z368" s="31">
        <f t="shared" si="82"/>
        <v>-2.9885974518060701E-2</v>
      </c>
      <c r="AA368" s="31" t="str">
        <f t="shared" si="83"/>
        <v/>
      </c>
    </row>
    <row r="369" spans="1:27" x14ac:dyDescent="0.25">
      <c r="A369" s="6" t="str">
        <f t="shared" si="77"/>
        <v>fragment</v>
      </c>
      <c r="B369" s="6" t="s">
        <v>1192</v>
      </c>
      <c r="C369" s="6" t="str">
        <f t="shared" si="78"/>
        <v>HC14 572</v>
      </c>
      <c r="D369" s="24" t="s">
        <v>963</v>
      </c>
      <c r="E369" s="22">
        <v>572</v>
      </c>
      <c r="F369" s="22"/>
      <c r="G369" s="22" t="s">
        <v>1006</v>
      </c>
      <c r="H369" s="22" t="s">
        <v>977</v>
      </c>
      <c r="I369" s="6" t="s">
        <v>5</v>
      </c>
      <c r="J369" s="30"/>
      <c r="K369" s="8" t="str">
        <f t="shared" si="79"/>
        <v/>
      </c>
      <c r="L369" s="8" t="str">
        <f t="shared" si="80"/>
        <v/>
      </c>
      <c r="M369" s="23"/>
      <c r="N369" s="23"/>
      <c r="O369" s="23"/>
      <c r="P369" s="23"/>
      <c r="Q369" s="23">
        <v>3.4580000000000002</v>
      </c>
      <c r="R369" s="23">
        <f>1.056+1.599+1.084</f>
        <v>3.7390000000000003</v>
      </c>
      <c r="S369" s="8"/>
      <c r="T369" s="8"/>
      <c r="U369" s="8"/>
      <c r="V369" s="8"/>
      <c r="W369" s="8">
        <v>1.0812608444187393</v>
      </c>
      <c r="X369" s="8"/>
      <c r="Y369" s="31">
        <f t="shared" si="81"/>
        <v>-3.3930476216315911E-2</v>
      </c>
      <c r="Z369" s="31">
        <f t="shared" si="82"/>
        <v>-3.3930476216315911E-2</v>
      </c>
      <c r="AA369" s="31" t="str">
        <f t="shared" si="83"/>
        <v/>
      </c>
    </row>
    <row r="370" spans="1:27" x14ac:dyDescent="0.25">
      <c r="A370" s="6" t="str">
        <f t="shared" si="77"/>
        <v>fragment</v>
      </c>
      <c r="B370" s="6" t="s">
        <v>1192</v>
      </c>
      <c r="C370" s="6" t="str">
        <f t="shared" si="78"/>
        <v>HC14 572</v>
      </c>
      <c r="D370" s="22" t="s">
        <v>963</v>
      </c>
      <c r="E370" s="22">
        <v>572</v>
      </c>
      <c r="F370" s="22"/>
      <c r="G370" s="22" t="s">
        <v>1007</v>
      </c>
      <c r="H370" s="22" t="s">
        <v>977</v>
      </c>
      <c r="I370" s="6" t="s">
        <v>5</v>
      </c>
      <c r="J370" s="30"/>
      <c r="K370" s="8" t="str">
        <f t="shared" si="79"/>
        <v/>
      </c>
      <c r="L370" s="8" t="str">
        <f t="shared" si="80"/>
        <v/>
      </c>
      <c r="M370" s="23">
        <v>3.4049999999999998</v>
      </c>
      <c r="N370" s="23">
        <f>0.668+1.531+1.333</f>
        <v>3.532</v>
      </c>
      <c r="O370" s="23">
        <v>4.7329999999999997</v>
      </c>
      <c r="P370" s="23">
        <f>1.923+1.123</f>
        <v>3.0460000000000003</v>
      </c>
      <c r="Q370" s="23">
        <v>5.4169999999999998</v>
      </c>
      <c r="R370" s="23">
        <f>1.162+1.866+0.575+0.919+1.903+0.346+1.869</f>
        <v>8.64</v>
      </c>
      <c r="S370" s="8"/>
      <c r="T370" s="8"/>
      <c r="U370" s="8">
        <v>1.0372980910425844</v>
      </c>
      <c r="V370" s="8">
        <v>0.64356644834143262</v>
      </c>
      <c r="W370" s="8">
        <v>1.5949787705371978</v>
      </c>
      <c r="X370" s="8"/>
      <c r="Y370" s="31">
        <f t="shared" si="81"/>
        <v>-3.8201865699599415E-2</v>
      </c>
      <c r="Z370" s="31">
        <f t="shared" si="82"/>
        <v>-3.8201865699599415E-2</v>
      </c>
      <c r="AA370" s="31" t="str">
        <f t="shared" si="83"/>
        <v/>
      </c>
    </row>
    <row r="371" spans="1:27" x14ac:dyDescent="0.25">
      <c r="A371" s="6" t="str">
        <f t="shared" si="77"/>
        <v>fragment</v>
      </c>
      <c r="B371" s="6" t="s">
        <v>1192</v>
      </c>
      <c r="C371" s="6" t="str">
        <f t="shared" si="78"/>
        <v>HC14 572</v>
      </c>
      <c r="D371" s="22" t="s">
        <v>963</v>
      </c>
      <c r="E371" s="22">
        <v>572</v>
      </c>
      <c r="F371" s="22"/>
      <c r="G371" s="22" t="s">
        <v>1008</v>
      </c>
      <c r="H371" s="22" t="s">
        <v>977</v>
      </c>
      <c r="I371" s="6" t="s">
        <v>5</v>
      </c>
      <c r="J371" s="30"/>
      <c r="K371" s="8" t="str">
        <f t="shared" si="79"/>
        <v/>
      </c>
      <c r="L371" s="8" t="str">
        <f t="shared" si="80"/>
        <v/>
      </c>
      <c r="M371" s="23"/>
      <c r="N371" s="23"/>
      <c r="O371" s="23">
        <v>3.2440000000000002</v>
      </c>
      <c r="P371" s="23">
        <f>0.479+1.487+0.757</f>
        <v>2.7230000000000003</v>
      </c>
      <c r="Q371" s="23">
        <v>3.081</v>
      </c>
      <c r="R371" s="23">
        <f>1.138+0.235+1.118+0.525</f>
        <v>3.0159999999999996</v>
      </c>
      <c r="S371" s="8"/>
      <c r="T371" s="8"/>
      <c r="U371" s="8"/>
      <c r="V371" s="8">
        <v>0.83939580764488286</v>
      </c>
      <c r="W371" s="8">
        <v>0.97890295358649781</v>
      </c>
      <c r="X371" s="8"/>
      <c r="Y371" s="31">
        <f t="shared" si="81"/>
        <v>4.1364752809884248E-2</v>
      </c>
      <c r="Z371" s="31">
        <f t="shared" si="82"/>
        <v>4.1364752809884248E-2</v>
      </c>
      <c r="AA371" s="31" t="str">
        <f t="shared" si="83"/>
        <v/>
      </c>
    </row>
    <row r="372" spans="1:27" x14ac:dyDescent="0.25">
      <c r="A372" s="6" t="str">
        <f t="shared" si="77"/>
        <v>fragment</v>
      </c>
      <c r="B372" s="6" t="s">
        <v>1192</v>
      </c>
      <c r="C372" s="6" t="str">
        <f t="shared" si="78"/>
        <v>HC14 88108</v>
      </c>
      <c r="D372" s="22" t="s">
        <v>963</v>
      </c>
      <c r="E372" s="20">
        <v>88108</v>
      </c>
      <c r="F372" s="22"/>
      <c r="G372" s="22" t="s">
        <v>1009</v>
      </c>
      <c r="H372" s="22" t="s">
        <v>978</v>
      </c>
      <c r="I372" s="6" t="s">
        <v>5</v>
      </c>
      <c r="J372" s="30"/>
      <c r="K372" s="8" t="str">
        <f t="shared" si="79"/>
        <v/>
      </c>
      <c r="L372" s="8" t="str">
        <f t="shared" si="80"/>
        <v/>
      </c>
      <c r="M372" s="23"/>
      <c r="N372" s="23"/>
      <c r="O372" s="23">
        <v>2.7829999999999999</v>
      </c>
      <c r="P372" s="23">
        <f>1.886+1.497</f>
        <v>3.383</v>
      </c>
      <c r="Q372" s="23">
        <v>3.2890000000000001</v>
      </c>
      <c r="R372" s="23">
        <f>1.507+0.787</f>
        <v>2.294</v>
      </c>
      <c r="S372" s="8"/>
      <c r="T372" s="8"/>
      <c r="U372" s="8"/>
      <c r="V372" s="8">
        <v>1.215594681997844</v>
      </c>
      <c r="W372" s="8">
        <v>0.69747643660687142</v>
      </c>
      <c r="X372" s="8"/>
      <c r="Y372" s="31">
        <f t="shared" si="81"/>
        <v>1.9298880397020643E-2</v>
      </c>
      <c r="Z372" s="31">
        <f t="shared" si="82"/>
        <v>1.9298880397020643E-2</v>
      </c>
      <c r="AA372" s="31" t="str">
        <f t="shared" si="83"/>
        <v/>
      </c>
    </row>
    <row r="373" spans="1:27" x14ac:dyDescent="0.25">
      <c r="A373" s="6" t="str">
        <f t="shared" si="77"/>
        <v>fragment</v>
      </c>
      <c r="B373" s="6" t="s">
        <v>1192</v>
      </c>
      <c r="C373" s="6" t="str">
        <f t="shared" si="78"/>
        <v>HC14 88108</v>
      </c>
      <c r="D373" s="22" t="s">
        <v>963</v>
      </c>
      <c r="E373" s="20">
        <v>88108</v>
      </c>
      <c r="F373" s="22"/>
      <c r="G373" s="22" t="s">
        <v>1010</v>
      </c>
      <c r="H373" s="22" t="s">
        <v>978</v>
      </c>
      <c r="I373" s="6" t="s">
        <v>5</v>
      </c>
      <c r="J373" s="30"/>
      <c r="K373" s="8" t="str">
        <f t="shared" si="79"/>
        <v/>
      </c>
      <c r="L373" s="8" t="str">
        <f t="shared" si="80"/>
        <v/>
      </c>
      <c r="M373" s="23">
        <v>0.83599999999999997</v>
      </c>
      <c r="N373" s="23">
        <f>1.158+0.509</f>
        <v>1.6669999999999998</v>
      </c>
      <c r="O373" s="23">
        <v>1.534</v>
      </c>
      <c r="P373" s="23">
        <f>1.667+0.322+0.466</f>
        <v>2.4550000000000001</v>
      </c>
      <c r="Q373" s="23">
        <v>0.89400000000000002</v>
      </c>
      <c r="R373" s="23">
        <f>0.782+0.182+0.857+0.412</f>
        <v>2.2330000000000001</v>
      </c>
      <c r="S373" s="8"/>
      <c r="T373" s="8"/>
      <c r="U373" s="8">
        <v>1.9940191387559807</v>
      </c>
      <c r="V373" s="8">
        <v>1.6003911342894395</v>
      </c>
      <c r="W373" s="8">
        <v>2.4977628635346756</v>
      </c>
      <c r="X373" s="8"/>
      <c r="Y373" s="31">
        <f t="shared" si="81"/>
        <v>-0.30765098255643669</v>
      </c>
      <c r="Z373" s="31">
        <f t="shared" si="82"/>
        <v>-0.30765098255643669</v>
      </c>
      <c r="AA373" s="31" t="str">
        <f t="shared" si="83"/>
        <v/>
      </c>
    </row>
    <row r="374" spans="1:27" x14ac:dyDescent="0.25">
      <c r="A374" s="6" t="str">
        <f t="shared" si="77"/>
        <v>complete</v>
      </c>
      <c r="B374" s="6" t="s">
        <v>348</v>
      </c>
      <c r="C374" s="6" t="str">
        <f t="shared" si="78"/>
        <v>HC162 428</v>
      </c>
      <c r="D374" s="6" t="s">
        <v>347</v>
      </c>
      <c r="E374" s="20">
        <v>428</v>
      </c>
      <c r="F374" s="6" t="s">
        <v>154</v>
      </c>
      <c r="G374" s="6" t="s">
        <v>361</v>
      </c>
      <c r="H374" s="6" t="s">
        <v>979</v>
      </c>
      <c r="I374" s="6" t="s">
        <v>5</v>
      </c>
      <c r="J374" s="29">
        <v>20.593</v>
      </c>
      <c r="K374" s="8">
        <f t="shared" si="79"/>
        <v>1.3137196194950931</v>
      </c>
      <c r="L374" s="8">
        <f t="shared" si="80"/>
        <v>7.6301213982113021</v>
      </c>
      <c r="M374" s="8"/>
      <c r="N374" s="8"/>
      <c r="O374" s="8">
        <v>0.36</v>
      </c>
      <c r="P374" s="8">
        <f>0.393+0.513+0.491</f>
        <v>1.397</v>
      </c>
      <c r="Q374" s="8"/>
      <c r="R374" s="8"/>
      <c r="S374" s="8">
        <v>2.08</v>
      </c>
      <c r="T374" s="8">
        <f>0.879+1.552+1.389+0.391+0.481</f>
        <v>4.6920000000000002</v>
      </c>
      <c r="U374" s="8"/>
      <c r="V374" s="8">
        <f>P374/O374</f>
        <v>3.8805555555555555</v>
      </c>
      <c r="W374" s="8"/>
      <c r="X374" s="8">
        <f>T374/S374</f>
        <v>2.2557692307692307</v>
      </c>
      <c r="Y374" s="31">
        <f t="shared" si="81"/>
        <v>-0.48687834243074529</v>
      </c>
      <c r="Z374" s="31" t="str">
        <f t="shared" si="82"/>
        <v/>
      </c>
      <c r="AA374" s="31">
        <f t="shared" si="83"/>
        <v>-0.48687834243074529</v>
      </c>
    </row>
    <row r="375" spans="1:27" x14ac:dyDescent="0.25">
      <c r="A375" s="6" t="str">
        <f t="shared" si="77"/>
        <v>fragment</v>
      </c>
      <c r="B375" s="6" t="s">
        <v>348</v>
      </c>
      <c r="C375" s="6" t="str">
        <f t="shared" si="78"/>
        <v>HC162 428</v>
      </c>
      <c r="D375" s="6" t="s">
        <v>347</v>
      </c>
      <c r="E375" s="20">
        <v>428</v>
      </c>
      <c r="F375" s="6" t="s">
        <v>154</v>
      </c>
      <c r="G375" s="6" t="s">
        <v>362</v>
      </c>
      <c r="H375" s="6" t="s">
        <v>979</v>
      </c>
      <c r="I375" s="6" t="s">
        <v>5</v>
      </c>
      <c r="J375" s="29"/>
      <c r="K375" s="8" t="str">
        <f t="shared" si="79"/>
        <v/>
      </c>
      <c r="L375" s="8" t="str">
        <f t="shared" si="80"/>
        <v/>
      </c>
      <c r="M375" s="8"/>
      <c r="N375" s="8"/>
      <c r="O375" s="8">
        <v>2.0510000000000002</v>
      </c>
      <c r="P375" s="8">
        <f>0.995+0.531+1.401+0.397+0.864</f>
        <v>4.1879999999999997</v>
      </c>
      <c r="Q375" s="8"/>
      <c r="R375" s="8"/>
      <c r="S375" s="8">
        <v>1.198</v>
      </c>
      <c r="T375" s="8">
        <v>1.7529999999999999</v>
      </c>
      <c r="U375" s="8"/>
      <c r="V375" s="8">
        <f>P375/O375</f>
        <v>2.0419307654802532</v>
      </c>
      <c r="W375" s="8"/>
      <c r="X375" s="8">
        <f>T375/S375</f>
        <v>1.4632721202003338</v>
      </c>
      <c r="Y375" s="31">
        <f t="shared" si="81"/>
        <v>-0.24368316489303718</v>
      </c>
      <c r="Z375" s="31">
        <f t="shared" si="82"/>
        <v>-0.24368316489303718</v>
      </c>
      <c r="AA375" s="31" t="str">
        <f t="shared" si="83"/>
        <v/>
      </c>
    </row>
    <row r="376" spans="1:27" x14ac:dyDescent="0.25">
      <c r="A376" s="6" t="str">
        <f t="shared" si="77"/>
        <v>complete</v>
      </c>
      <c r="B376" s="6" t="s">
        <v>348</v>
      </c>
      <c r="C376" s="6" t="str">
        <f t="shared" si="78"/>
        <v>HC162 428</v>
      </c>
      <c r="D376" s="6" t="s">
        <v>347</v>
      </c>
      <c r="E376" s="20">
        <v>428</v>
      </c>
      <c r="F376" s="6" t="s">
        <v>154</v>
      </c>
      <c r="G376" s="6" t="s">
        <v>363</v>
      </c>
      <c r="H376" s="6" t="s">
        <v>979</v>
      </c>
      <c r="I376" s="6" t="s">
        <v>5</v>
      </c>
      <c r="J376" s="29">
        <v>25.44791</v>
      </c>
      <c r="K376" s="8">
        <f t="shared" si="79"/>
        <v>1.405652120160432</v>
      </c>
      <c r="L376" s="8">
        <f t="shared" si="80"/>
        <v>7.8418038038049769</v>
      </c>
      <c r="M376" s="8">
        <v>1.357</v>
      </c>
      <c r="N376" s="8">
        <f>1.128+0.792</f>
        <v>1.92</v>
      </c>
      <c r="O376" s="8">
        <v>1.464</v>
      </c>
      <c r="P376" s="8">
        <f>0.552+0.693+0.66+0.59</f>
        <v>2.4950000000000001</v>
      </c>
      <c r="Q376" s="8"/>
      <c r="R376" s="8"/>
      <c r="S376" s="8"/>
      <c r="T376" s="8"/>
      <c r="U376" s="8">
        <f>N376/M376</f>
        <v>1.4148857774502579</v>
      </c>
      <c r="V376" s="8">
        <f>P376/O376</f>
        <v>1.7042349726775958</v>
      </c>
      <c r="W376" s="8"/>
      <c r="X376" s="8"/>
      <c r="Y376" s="31">
        <f t="shared" si="81"/>
        <v>-0.19300219220606085</v>
      </c>
      <c r="Z376" s="31" t="str">
        <f t="shared" si="82"/>
        <v/>
      </c>
      <c r="AA376" s="31">
        <f t="shared" si="83"/>
        <v>-0.19300219220606085</v>
      </c>
    </row>
    <row r="377" spans="1:27" x14ac:dyDescent="0.25">
      <c r="A377" s="6" t="str">
        <f t="shared" si="77"/>
        <v>complete</v>
      </c>
      <c r="B377" s="6" t="s">
        <v>348</v>
      </c>
      <c r="C377" s="6" t="str">
        <f t="shared" si="78"/>
        <v>HC162 428</v>
      </c>
      <c r="D377" s="6" t="s">
        <v>347</v>
      </c>
      <c r="E377" s="20">
        <v>428</v>
      </c>
      <c r="F377" s="6" t="s">
        <v>154</v>
      </c>
      <c r="G377" s="6" t="s">
        <v>364</v>
      </c>
      <c r="H377" s="6" t="s">
        <v>979</v>
      </c>
      <c r="I377" s="6" t="s">
        <v>5</v>
      </c>
      <c r="J377" s="29">
        <f>11.074*2</f>
        <v>22.148</v>
      </c>
      <c r="K377" s="8">
        <f t="shared" si="79"/>
        <v>1.3453345148398959</v>
      </c>
      <c r="L377" s="8">
        <f t="shared" si="80"/>
        <v>7.7029173849488126</v>
      </c>
      <c r="M377" s="8"/>
      <c r="N377" s="8"/>
      <c r="O377" s="8"/>
      <c r="P377" s="8"/>
      <c r="Q377" s="8">
        <v>1.306</v>
      </c>
      <c r="R377" s="8">
        <f>0.602+0.866+0.853+0.438</f>
        <v>2.7589999999999999</v>
      </c>
      <c r="S377" s="8">
        <v>1.8340000000000001</v>
      </c>
      <c r="T377" s="8">
        <f>1.119+1.411</f>
        <v>2.5300000000000002</v>
      </c>
      <c r="U377" s="8"/>
      <c r="V377" s="8"/>
      <c r="W377" s="8">
        <f>R377/Q377</f>
        <v>2.1125574272588055</v>
      </c>
      <c r="X377" s="8">
        <f>T377/S377</f>
        <v>1.3794983642311887</v>
      </c>
      <c r="Y377" s="31">
        <f t="shared" si="81"/>
        <v>-0.24205117801293111</v>
      </c>
      <c r="Z377" s="31" t="str">
        <f t="shared" si="82"/>
        <v/>
      </c>
      <c r="AA377" s="31">
        <f t="shared" si="83"/>
        <v>-0.24205117801293111</v>
      </c>
    </row>
    <row r="378" spans="1:27" x14ac:dyDescent="0.25">
      <c r="A378" s="6" t="str">
        <f t="shared" si="77"/>
        <v>fragment</v>
      </c>
      <c r="B378" s="6" t="s">
        <v>348</v>
      </c>
      <c r="C378" s="6" t="str">
        <f t="shared" si="78"/>
        <v>HC162 428</v>
      </c>
      <c r="D378" s="6" t="s">
        <v>347</v>
      </c>
      <c r="E378" s="20">
        <v>428</v>
      </c>
      <c r="F378" s="6" t="s">
        <v>154</v>
      </c>
      <c r="G378" s="6" t="s">
        <v>365</v>
      </c>
      <c r="H378" s="6" t="s">
        <v>979</v>
      </c>
      <c r="I378" s="6" t="s">
        <v>5</v>
      </c>
      <c r="J378" s="29"/>
      <c r="K378" s="8" t="str">
        <f t="shared" si="79"/>
        <v/>
      </c>
      <c r="L378" s="8" t="str">
        <f t="shared" si="80"/>
        <v/>
      </c>
      <c r="M378" s="8"/>
      <c r="N378" s="8"/>
      <c r="O378" s="8"/>
      <c r="P378" s="8"/>
      <c r="Q378" s="8">
        <v>1.319</v>
      </c>
      <c r="R378" s="8">
        <f>0.67+0.727+0.816+0.326</f>
        <v>2.5390000000000001</v>
      </c>
      <c r="S378" s="8"/>
      <c r="T378" s="8"/>
      <c r="U378" s="8"/>
      <c r="V378" s="8"/>
      <c r="W378" s="8">
        <f>R378/Q378</f>
        <v>1.924943138741471</v>
      </c>
      <c r="X378" s="8"/>
      <c r="Y378" s="31">
        <f t="shared" si="81"/>
        <v>-0.28441790532735695</v>
      </c>
      <c r="Z378" s="31">
        <f t="shared" si="82"/>
        <v>-0.28441790532735695</v>
      </c>
      <c r="AA378" s="31" t="str">
        <f t="shared" si="83"/>
        <v/>
      </c>
    </row>
    <row r="379" spans="1:27" x14ac:dyDescent="0.25">
      <c r="A379" s="6" t="str">
        <f t="shared" si="77"/>
        <v>complete</v>
      </c>
      <c r="B379" s="6" t="s">
        <v>348</v>
      </c>
      <c r="C379" s="6" t="str">
        <f t="shared" si="78"/>
        <v>HC162 428</v>
      </c>
      <c r="D379" s="6" t="s">
        <v>347</v>
      </c>
      <c r="E379" s="20">
        <v>428</v>
      </c>
      <c r="F379" s="6" t="s">
        <v>154</v>
      </c>
      <c r="G379" s="6" t="s">
        <v>366</v>
      </c>
      <c r="H379" s="6" t="s">
        <v>979</v>
      </c>
      <c r="I379" s="6" t="s">
        <v>5</v>
      </c>
      <c r="J379" s="29">
        <f>17.755*2</f>
        <v>35.51</v>
      </c>
      <c r="K379" s="8">
        <f t="shared" si="79"/>
        <v>1.5503506723016154</v>
      </c>
      <c r="L379" s="8">
        <f t="shared" si="80"/>
        <v>8.1749845329430872</v>
      </c>
      <c r="M379" s="8"/>
      <c r="N379" s="8"/>
      <c r="O379" s="8">
        <v>1.623</v>
      </c>
      <c r="P379" s="8">
        <f>0.59+0.814+0.633</f>
        <v>2.0369999999999999</v>
      </c>
      <c r="Q379" s="8"/>
      <c r="R379" s="8"/>
      <c r="S379" s="8">
        <v>2.4409999999999998</v>
      </c>
      <c r="T379" s="8">
        <f>1.483+0.6+2.115</f>
        <v>4.1980000000000004</v>
      </c>
      <c r="U379" s="8"/>
      <c r="V379" s="8">
        <f>P379/O379</f>
        <v>1.2550831792975969</v>
      </c>
      <c r="W379" s="8"/>
      <c r="X379" s="8">
        <f>T379/S379</f>
        <v>1.719786972552233</v>
      </c>
      <c r="Y379" s="31">
        <f t="shared" si="81"/>
        <v>-0.17243801858014943</v>
      </c>
      <c r="Z379" s="31" t="str">
        <f t="shared" si="82"/>
        <v/>
      </c>
      <c r="AA379" s="31">
        <f t="shared" si="83"/>
        <v>-0.17243801858014943</v>
      </c>
    </row>
    <row r="380" spans="1:27" x14ac:dyDescent="0.25">
      <c r="A380" s="6" t="str">
        <f t="shared" si="77"/>
        <v>complete</v>
      </c>
      <c r="B380" s="6" t="s">
        <v>348</v>
      </c>
      <c r="C380" s="6" t="str">
        <f t="shared" si="78"/>
        <v>HC162 428</v>
      </c>
      <c r="D380" s="6" t="s">
        <v>347</v>
      </c>
      <c r="E380" s="20">
        <v>428</v>
      </c>
      <c r="F380" s="6" t="s">
        <v>154</v>
      </c>
      <c r="G380" s="6" t="s">
        <v>367</v>
      </c>
      <c r="H380" s="6" t="s">
        <v>979</v>
      </c>
      <c r="I380" s="6" t="s">
        <v>5</v>
      </c>
      <c r="J380" s="29">
        <v>19.091000000000001</v>
      </c>
      <c r="K380" s="8">
        <f t="shared" si="79"/>
        <v>1.2808286776397317</v>
      </c>
      <c r="L380" s="8">
        <f t="shared" si="80"/>
        <v>7.5543872058006141</v>
      </c>
      <c r="M380" s="8">
        <v>1.42</v>
      </c>
      <c r="N380" s="8">
        <f>1.374+0.83</f>
        <v>2.2040000000000002</v>
      </c>
      <c r="O380" s="8">
        <v>0.96599999999999997</v>
      </c>
      <c r="P380" s="8">
        <f>0.445+0.612+0.239+0.537+0.54</f>
        <v>2.3729999999999998</v>
      </c>
      <c r="Q380" s="8"/>
      <c r="R380" s="8"/>
      <c r="S380" s="8"/>
      <c r="T380" s="8"/>
      <c r="U380" s="8">
        <f>N380/M380</f>
        <v>1.5521126760563382</v>
      </c>
      <c r="V380" s="8">
        <f>P380/O380</f>
        <v>2.4565217391304346</v>
      </c>
      <c r="W380" s="8"/>
      <c r="X380" s="8"/>
      <c r="Y380" s="31">
        <f t="shared" si="81"/>
        <v>-0.30196645502237013</v>
      </c>
      <c r="Z380" s="31" t="str">
        <f t="shared" si="82"/>
        <v/>
      </c>
      <c r="AA380" s="31">
        <f t="shared" si="83"/>
        <v>-0.30196645502237013</v>
      </c>
    </row>
    <row r="381" spans="1:27" x14ac:dyDescent="0.25">
      <c r="A381" s="6" t="str">
        <f t="shared" si="77"/>
        <v>complete</v>
      </c>
      <c r="B381" s="6" t="s">
        <v>348</v>
      </c>
      <c r="C381" s="6" t="str">
        <f t="shared" si="78"/>
        <v>HC162 517</v>
      </c>
      <c r="D381" s="6" t="s">
        <v>347</v>
      </c>
      <c r="E381" s="20">
        <v>517</v>
      </c>
      <c r="F381" s="6" t="s">
        <v>161</v>
      </c>
      <c r="G381" s="6" t="s">
        <v>368</v>
      </c>
      <c r="H381" s="6" t="s">
        <v>977</v>
      </c>
      <c r="I381" s="6" t="s">
        <v>5</v>
      </c>
      <c r="J381" s="29">
        <v>15.241</v>
      </c>
      <c r="K381" s="8">
        <f t="shared" si="79"/>
        <v>1.1830134630819293</v>
      </c>
      <c r="L381" s="8">
        <f t="shared" si="80"/>
        <v>7.3291593508918043</v>
      </c>
      <c r="M381" s="8"/>
      <c r="N381" s="8"/>
      <c r="O381" s="8">
        <v>0.44700000000000001</v>
      </c>
      <c r="P381" s="8">
        <f>0.443+0.387</f>
        <v>0.83000000000000007</v>
      </c>
      <c r="Q381" s="8">
        <v>0.17</v>
      </c>
      <c r="R381" s="8">
        <f>0.238+0.27</f>
        <v>0.50800000000000001</v>
      </c>
      <c r="S381" s="8">
        <v>0.74199999999999999</v>
      </c>
      <c r="T381" s="8">
        <f>0.938+0.798</f>
        <v>1.736</v>
      </c>
      <c r="U381" s="8"/>
      <c r="V381" s="8">
        <f>P381/O381</f>
        <v>1.8568232662192394</v>
      </c>
      <c r="W381" s="8">
        <f>R381/Q381</f>
        <v>2.9882352941176471</v>
      </c>
      <c r="X381" s="8">
        <f>T381/S381</f>
        <v>2.3396226415094339</v>
      </c>
      <c r="Y381" s="31">
        <f t="shared" si="81"/>
        <v>-0.379286247694822</v>
      </c>
      <c r="Z381" s="31" t="str">
        <f t="shared" si="82"/>
        <v/>
      </c>
      <c r="AA381" s="31">
        <f t="shared" si="83"/>
        <v>-0.379286247694822</v>
      </c>
    </row>
    <row r="382" spans="1:27" x14ac:dyDescent="0.25">
      <c r="A382" s="6" t="str">
        <f t="shared" si="77"/>
        <v>complete</v>
      </c>
      <c r="B382" s="6" t="s">
        <v>348</v>
      </c>
      <c r="C382" s="6" t="str">
        <f t="shared" si="78"/>
        <v>HC162 900</v>
      </c>
      <c r="D382" s="6" t="s">
        <v>347</v>
      </c>
      <c r="E382" s="20">
        <v>900</v>
      </c>
      <c r="F382" s="6" t="s">
        <v>180</v>
      </c>
      <c r="G382" s="6" t="s">
        <v>349</v>
      </c>
      <c r="H382" s="6" t="s">
        <v>977</v>
      </c>
      <c r="I382" s="6" t="s">
        <v>5</v>
      </c>
      <c r="J382" s="29">
        <v>15.028</v>
      </c>
      <c r="K382" s="8">
        <f t="shared" si="79"/>
        <v>1.176901186391347</v>
      </c>
      <c r="L382" s="8">
        <f t="shared" si="80"/>
        <v>7.3150853136998135</v>
      </c>
      <c r="M382" s="8"/>
      <c r="N382" s="8"/>
      <c r="O382" s="8"/>
      <c r="P382" s="8"/>
      <c r="Q382" s="8"/>
      <c r="R382" s="8"/>
      <c r="S382" s="8">
        <v>1.0940000000000001</v>
      </c>
      <c r="T382" s="8">
        <f>0.514+0.639+0.555+0.627+0.63</f>
        <v>2.9649999999999999</v>
      </c>
      <c r="U382" s="8"/>
      <c r="V382" s="8"/>
      <c r="W382" s="8"/>
      <c r="X382" s="8">
        <f>T382/S382</f>
        <v>2.7102376599634366</v>
      </c>
      <c r="Y382" s="31">
        <f t="shared" si="81"/>
        <v>-0.4330073757028694</v>
      </c>
      <c r="Z382" s="31" t="str">
        <f t="shared" si="82"/>
        <v/>
      </c>
      <c r="AA382" s="31">
        <f t="shared" si="83"/>
        <v>-0.4330073757028694</v>
      </c>
    </row>
    <row r="383" spans="1:27" x14ac:dyDescent="0.25">
      <c r="A383" s="6" t="str">
        <f t="shared" si="77"/>
        <v>fragment</v>
      </c>
      <c r="B383" s="6" t="s">
        <v>348</v>
      </c>
      <c r="C383" s="6" t="str">
        <f t="shared" si="78"/>
        <v>HC162 900</v>
      </c>
      <c r="D383" s="6" t="s">
        <v>347</v>
      </c>
      <c r="E383" s="20">
        <v>900</v>
      </c>
      <c r="F383" s="6" t="s">
        <v>180</v>
      </c>
      <c r="G383" s="6" t="s">
        <v>350</v>
      </c>
      <c r="H383" s="6" t="s">
        <v>977</v>
      </c>
      <c r="I383" s="6" t="s">
        <v>5</v>
      </c>
      <c r="J383" s="29"/>
      <c r="K383" s="8" t="str">
        <f t="shared" si="79"/>
        <v/>
      </c>
      <c r="L383" s="8" t="str">
        <f t="shared" si="80"/>
        <v/>
      </c>
      <c r="M383" s="8"/>
      <c r="N383" s="8"/>
      <c r="O383" s="8">
        <v>1.649</v>
      </c>
      <c r="P383" s="8">
        <f>0.767+0.939+0.821+0.527</f>
        <v>3.0540000000000003</v>
      </c>
      <c r="Q383" s="8"/>
      <c r="R383" s="8"/>
      <c r="S383" s="8">
        <v>1.655</v>
      </c>
      <c r="T383" s="8">
        <f>1.084+1.199+0.693</f>
        <v>2.9760000000000004</v>
      </c>
      <c r="U383" s="8"/>
      <c r="V383" s="8">
        <f>P383/O383</f>
        <v>1.8520315342631899</v>
      </c>
      <c r="W383" s="8"/>
      <c r="X383" s="8">
        <f>T383/S383</f>
        <v>1.798187311178248</v>
      </c>
      <c r="Y383" s="31">
        <f t="shared" si="81"/>
        <v>-0.26128890729069387</v>
      </c>
      <c r="Z383" s="31">
        <f t="shared" si="82"/>
        <v>-0.26128890729069387</v>
      </c>
      <c r="AA383" s="31" t="str">
        <f t="shared" si="83"/>
        <v/>
      </c>
    </row>
    <row r="384" spans="1:27" x14ac:dyDescent="0.25">
      <c r="A384" s="6" t="str">
        <f t="shared" si="77"/>
        <v>complete</v>
      </c>
      <c r="B384" s="6" t="s">
        <v>348</v>
      </c>
      <c r="C384" s="6" t="str">
        <f t="shared" si="78"/>
        <v>HC162 900</v>
      </c>
      <c r="D384" s="6" t="s">
        <v>347</v>
      </c>
      <c r="E384" s="20">
        <v>900</v>
      </c>
      <c r="F384" s="6" t="s">
        <v>180</v>
      </c>
      <c r="G384" s="6" t="s">
        <v>351</v>
      </c>
      <c r="H384" s="6" t="s">
        <v>977</v>
      </c>
      <c r="I384" s="6" t="s">
        <v>5</v>
      </c>
      <c r="J384" s="29">
        <v>19.439</v>
      </c>
      <c r="K384" s="8">
        <f t="shared" si="79"/>
        <v>1.2886739197645145</v>
      </c>
      <c r="L384" s="8">
        <f t="shared" si="80"/>
        <v>7.572451543368067</v>
      </c>
      <c r="M384" s="8"/>
      <c r="N384" s="8"/>
      <c r="O384" s="8">
        <v>1.0880000000000001</v>
      </c>
      <c r="P384" s="8">
        <f>0.704+0.155+0.718+0.867</f>
        <v>2.444</v>
      </c>
      <c r="Q384" s="8"/>
      <c r="R384" s="8"/>
      <c r="S384" s="8">
        <v>1.3560000000000001</v>
      </c>
      <c r="T384" s="8">
        <f>0.62+1.61</f>
        <v>2.23</v>
      </c>
      <c r="U384" s="8"/>
      <c r="V384" s="8">
        <f>P384/O384</f>
        <v>2.2463235294117645</v>
      </c>
      <c r="W384" s="8"/>
      <c r="X384" s="8">
        <f>T384/S384</f>
        <v>1.6445427728613569</v>
      </c>
      <c r="Y384" s="31">
        <f t="shared" si="81"/>
        <v>-0.28901631219383123</v>
      </c>
      <c r="Z384" s="31" t="str">
        <f t="shared" si="82"/>
        <v/>
      </c>
      <c r="AA384" s="31">
        <f t="shared" si="83"/>
        <v>-0.28901631219383123</v>
      </c>
    </row>
    <row r="385" spans="1:27" x14ac:dyDescent="0.25">
      <c r="A385" s="6" t="str">
        <f t="shared" si="77"/>
        <v>complete</v>
      </c>
      <c r="B385" s="6" t="s">
        <v>348</v>
      </c>
      <c r="C385" s="6" t="str">
        <f t="shared" si="78"/>
        <v>HC162 900</v>
      </c>
      <c r="D385" s="6" t="s">
        <v>347</v>
      </c>
      <c r="E385" s="20">
        <v>900</v>
      </c>
      <c r="F385" s="6" t="s">
        <v>180</v>
      </c>
      <c r="G385" s="6" t="s">
        <v>352</v>
      </c>
      <c r="H385" s="6" t="s">
        <v>977</v>
      </c>
      <c r="I385" s="6" t="s">
        <v>5</v>
      </c>
      <c r="J385" s="29">
        <f>12.287*2</f>
        <v>24.574000000000002</v>
      </c>
      <c r="K385" s="8">
        <f t="shared" si="79"/>
        <v>1.3904758539378153</v>
      </c>
      <c r="L385" s="8">
        <f t="shared" si="80"/>
        <v>7.8068591594334711</v>
      </c>
      <c r="M385" s="8"/>
      <c r="N385" s="8"/>
      <c r="O385" s="8">
        <v>3.5259999999999998</v>
      </c>
      <c r="P385" s="8">
        <f>4.962+0.639+1.414+1.44+0.884</f>
        <v>9.3390000000000004</v>
      </c>
      <c r="Q385" s="8"/>
      <c r="R385" s="8"/>
      <c r="S385" s="8"/>
      <c r="T385" s="8"/>
      <c r="U385" s="8"/>
      <c r="V385" s="8">
        <f>P385/O385</f>
        <v>2.6486103233125355</v>
      </c>
      <c r="W385" s="8"/>
      <c r="X385" s="8"/>
      <c r="Y385" s="31">
        <f t="shared" si="81"/>
        <v>-0.42301806743887449</v>
      </c>
      <c r="Z385" s="31" t="str">
        <f t="shared" si="82"/>
        <v/>
      </c>
      <c r="AA385" s="31">
        <f t="shared" si="83"/>
        <v>-0.42301806743887449</v>
      </c>
    </row>
    <row r="386" spans="1:27" x14ac:dyDescent="0.25">
      <c r="A386" s="6" t="str">
        <f t="shared" ref="A386:A449" si="86">IF(J386&gt;0,"complete","fragment")</f>
        <v>complete</v>
      </c>
      <c r="B386" s="6" t="s">
        <v>348</v>
      </c>
      <c r="C386" s="6" t="str">
        <f t="shared" ref="C386:C449" si="87">D386&amp;" "&amp;E386</f>
        <v>HC162 900</v>
      </c>
      <c r="D386" s="6" t="s">
        <v>347</v>
      </c>
      <c r="E386" s="20">
        <v>900</v>
      </c>
      <c r="F386" s="6" t="s">
        <v>180</v>
      </c>
      <c r="G386" s="6" t="s">
        <v>353</v>
      </c>
      <c r="H386" s="6" t="s">
        <v>977</v>
      </c>
      <c r="I386" s="6" t="s">
        <v>5</v>
      </c>
      <c r="J386" s="29">
        <v>29.361999999999998</v>
      </c>
      <c r="K386" s="8">
        <f t="shared" ref="K386:K449" si="88">IF(J386&gt;0,LOG(J386),"")</f>
        <v>1.4677856343292188</v>
      </c>
      <c r="L386" s="8">
        <f t="shared" ref="L386:L449" si="89">IF(J386&gt;0,LN(J386*100),"")</f>
        <v>7.9848715073053596</v>
      </c>
      <c r="M386" s="8"/>
      <c r="N386" s="8"/>
      <c r="O386" s="8">
        <v>0.41399999999999998</v>
      </c>
      <c r="P386" s="8">
        <f>0.337+0.732</f>
        <v>1.069</v>
      </c>
      <c r="Q386" s="8"/>
      <c r="R386" s="8"/>
      <c r="S386" s="8">
        <v>3.4969999999999999</v>
      </c>
      <c r="T386" s="8">
        <f>1.108+1.187+1.312+0.694</f>
        <v>4.3010000000000002</v>
      </c>
      <c r="U386" s="8"/>
      <c r="V386" s="8">
        <f>P386/O386</f>
        <v>2.5821256038647342</v>
      </c>
      <c r="W386" s="8"/>
      <c r="X386" s="8">
        <f t="shared" ref="X386:X391" si="90">T386/S386</f>
        <v>1.2299113525879326</v>
      </c>
      <c r="Y386" s="31">
        <f t="shared" ref="Y386:Y449" si="91">IF(COUNT(U386:X386)&gt;0,LOG(1/AVERAGE(U386:X386)),"")</f>
        <v>-0.28012710666580809</v>
      </c>
      <c r="Z386" s="31" t="str">
        <f t="shared" ref="Z386:Z449" si="92">IF(A386="fragment",IF(ISNUMBER(Y386)=TRUE,Y386,""),"")</f>
        <v/>
      </c>
      <c r="AA386" s="31">
        <f t="shared" ref="AA386:AA449" si="93">IF(A386="complete",IF(ISNUMBER(Y386)=TRUE,Y386,""),"")</f>
        <v>-0.28012710666580809</v>
      </c>
    </row>
    <row r="387" spans="1:27" x14ac:dyDescent="0.25">
      <c r="A387" s="6" t="str">
        <f t="shared" si="86"/>
        <v>fragment</v>
      </c>
      <c r="B387" s="6" t="s">
        <v>348</v>
      </c>
      <c r="C387" s="6" t="str">
        <f t="shared" si="87"/>
        <v>HC162 900</v>
      </c>
      <c r="D387" s="6" t="s">
        <v>347</v>
      </c>
      <c r="E387" s="20">
        <v>900</v>
      </c>
      <c r="F387" s="6" t="s">
        <v>180</v>
      </c>
      <c r="G387" s="6" t="s">
        <v>354</v>
      </c>
      <c r="H387" s="6" t="s">
        <v>977</v>
      </c>
      <c r="I387" s="6" t="s">
        <v>5</v>
      </c>
      <c r="J387" s="29"/>
      <c r="K387" s="8" t="str">
        <f t="shared" si="88"/>
        <v/>
      </c>
      <c r="L387" s="8" t="str">
        <f t="shared" si="89"/>
        <v/>
      </c>
      <c r="M387" s="8"/>
      <c r="N387" s="8"/>
      <c r="O387" s="8"/>
      <c r="P387" s="8"/>
      <c r="Q387" s="8"/>
      <c r="R387" s="8"/>
      <c r="S387" s="8">
        <v>1.145</v>
      </c>
      <c r="T387" s="8">
        <f>0.799+0.686+0.727+0.186+0.76+0.625</f>
        <v>3.7830000000000004</v>
      </c>
      <c r="U387" s="8"/>
      <c r="V387" s="8"/>
      <c r="W387" s="8"/>
      <c r="X387" s="8">
        <f t="shared" si="90"/>
        <v>3.3039301310043672</v>
      </c>
      <c r="Y387" s="31">
        <f t="shared" si="91"/>
        <v>-0.51903085461683729</v>
      </c>
      <c r="Z387" s="31">
        <f t="shared" si="92"/>
        <v>-0.51903085461683729</v>
      </c>
      <c r="AA387" s="31" t="str">
        <f t="shared" si="93"/>
        <v/>
      </c>
    </row>
    <row r="388" spans="1:27" x14ac:dyDescent="0.25">
      <c r="A388" s="6" t="str">
        <f t="shared" si="86"/>
        <v>fragment</v>
      </c>
      <c r="B388" s="6" t="s">
        <v>348</v>
      </c>
      <c r="C388" s="6" t="str">
        <f t="shared" si="87"/>
        <v>HC162 900</v>
      </c>
      <c r="D388" s="6" t="s">
        <v>347</v>
      </c>
      <c r="E388" s="20">
        <v>900</v>
      </c>
      <c r="F388" s="6" t="s">
        <v>180</v>
      </c>
      <c r="G388" s="6" t="s">
        <v>355</v>
      </c>
      <c r="H388" s="6" t="s">
        <v>977</v>
      </c>
      <c r="I388" s="6" t="s">
        <v>5</v>
      </c>
      <c r="J388" s="29"/>
      <c r="K388" s="8" t="str">
        <f t="shared" si="88"/>
        <v/>
      </c>
      <c r="L388" s="8" t="str">
        <f t="shared" si="89"/>
        <v/>
      </c>
      <c r="M388" s="8"/>
      <c r="N388" s="8"/>
      <c r="O388" s="8">
        <v>1.2250000000000001</v>
      </c>
      <c r="P388" s="8">
        <f>0.423+0.755+0.731+0.755</f>
        <v>2.6639999999999997</v>
      </c>
      <c r="Q388" s="8"/>
      <c r="R388" s="8"/>
      <c r="S388" s="8">
        <v>2.8039999999999998</v>
      </c>
      <c r="T388" s="8">
        <f>1.011+1.122+1.056+1.077+1.018</f>
        <v>5.2839999999999998</v>
      </c>
      <c r="U388" s="8"/>
      <c r="V388" s="8">
        <f>P388/O388</f>
        <v>2.1746938775510198</v>
      </c>
      <c r="W388" s="8"/>
      <c r="X388" s="8">
        <f t="shared" si="90"/>
        <v>1.884450784593438</v>
      </c>
      <c r="Y388" s="31">
        <f t="shared" si="91"/>
        <v>-0.30740453356696545</v>
      </c>
      <c r="Z388" s="31">
        <f t="shared" si="92"/>
        <v>-0.30740453356696545</v>
      </c>
      <c r="AA388" s="31" t="str">
        <f t="shared" si="93"/>
        <v/>
      </c>
    </row>
    <row r="389" spans="1:27" x14ac:dyDescent="0.25">
      <c r="A389" s="6" t="str">
        <f t="shared" si="86"/>
        <v>fragment</v>
      </c>
      <c r="B389" s="6" t="s">
        <v>348</v>
      </c>
      <c r="C389" s="6" t="str">
        <f t="shared" si="87"/>
        <v>HC162 900</v>
      </c>
      <c r="D389" s="6" t="s">
        <v>347</v>
      </c>
      <c r="E389" s="20">
        <v>900</v>
      </c>
      <c r="F389" s="6" t="s">
        <v>180</v>
      </c>
      <c r="G389" s="6" t="s">
        <v>356</v>
      </c>
      <c r="H389" s="6" t="s">
        <v>977</v>
      </c>
      <c r="I389" s="6" t="s">
        <v>5</v>
      </c>
      <c r="J389" s="29"/>
      <c r="K389" s="8" t="str">
        <f t="shared" si="88"/>
        <v/>
      </c>
      <c r="L389" s="8" t="str">
        <f t="shared" si="89"/>
        <v/>
      </c>
      <c r="M389" s="8"/>
      <c r="N389" s="8"/>
      <c r="O389" s="8"/>
      <c r="P389" s="8"/>
      <c r="Q389" s="8">
        <v>0.91800000000000004</v>
      </c>
      <c r="R389" s="8">
        <f>0.52+0.583+0.558</f>
        <v>1.661</v>
      </c>
      <c r="S389" s="8">
        <v>1.992</v>
      </c>
      <c r="T389" s="8">
        <f>0.779+0.911</f>
        <v>1.69</v>
      </c>
      <c r="U389" s="8"/>
      <c r="V389" s="8"/>
      <c r="W389" s="8">
        <f>R389/Q389</f>
        <v>1.8093681917211328</v>
      </c>
      <c r="X389" s="8">
        <f t="shared" si="90"/>
        <v>0.84839357429718876</v>
      </c>
      <c r="Y389" s="31">
        <f t="shared" si="91"/>
        <v>-0.12348605380179971</v>
      </c>
      <c r="Z389" s="31">
        <f t="shared" si="92"/>
        <v>-0.12348605380179971</v>
      </c>
      <c r="AA389" s="31" t="str">
        <f t="shared" si="93"/>
        <v/>
      </c>
    </row>
    <row r="390" spans="1:27" x14ac:dyDescent="0.25">
      <c r="A390" s="6" t="str">
        <f t="shared" si="86"/>
        <v>complete</v>
      </c>
      <c r="B390" s="6" t="s">
        <v>348</v>
      </c>
      <c r="C390" s="6" t="str">
        <f t="shared" si="87"/>
        <v>HC162 900</v>
      </c>
      <c r="D390" s="6" t="s">
        <v>347</v>
      </c>
      <c r="E390" s="20">
        <v>900</v>
      </c>
      <c r="F390" s="6" t="s">
        <v>180</v>
      </c>
      <c r="G390" s="6" t="s">
        <v>357</v>
      </c>
      <c r="H390" s="6" t="s">
        <v>977</v>
      </c>
      <c r="I390" s="6" t="s">
        <v>5</v>
      </c>
      <c r="J390" s="29">
        <f>14.549*2</f>
        <v>29.097999999999999</v>
      </c>
      <c r="K390" s="8">
        <f t="shared" si="88"/>
        <v>1.4638631395421413</v>
      </c>
      <c r="L390" s="8">
        <f t="shared" si="89"/>
        <v>7.9758396292812881</v>
      </c>
      <c r="M390" s="8"/>
      <c r="N390" s="8"/>
      <c r="O390" s="8">
        <v>0.59399999999999997</v>
      </c>
      <c r="P390" s="8">
        <f>0.347+0.446+0.397+0.481</f>
        <v>1.6709999999999998</v>
      </c>
      <c r="Q390" s="8"/>
      <c r="R390" s="8"/>
      <c r="S390" s="8">
        <v>2.452</v>
      </c>
      <c r="T390" s="8">
        <f>0.737+1.102+0.733+0.812+0.627</f>
        <v>4.0110000000000001</v>
      </c>
      <c r="U390" s="8"/>
      <c r="V390" s="8">
        <f>P390/O390</f>
        <v>2.8131313131313131</v>
      </c>
      <c r="W390" s="8"/>
      <c r="X390" s="8">
        <f t="shared" si="90"/>
        <v>1.6358075040783036</v>
      </c>
      <c r="Y390" s="31">
        <f t="shared" si="91"/>
        <v>-0.34722643761138228</v>
      </c>
      <c r="Z390" s="31" t="str">
        <f t="shared" si="92"/>
        <v/>
      </c>
      <c r="AA390" s="31">
        <f t="shared" si="93"/>
        <v>-0.34722643761138228</v>
      </c>
    </row>
    <row r="391" spans="1:27" x14ac:dyDescent="0.25">
      <c r="A391" s="6" t="str">
        <f t="shared" si="86"/>
        <v>complete</v>
      </c>
      <c r="B391" s="6" t="s">
        <v>348</v>
      </c>
      <c r="C391" s="6" t="str">
        <f t="shared" si="87"/>
        <v>HC162 900</v>
      </c>
      <c r="D391" s="6" t="s">
        <v>347</v>
      </c>
      <c r="E391" s="20">
        <v>900</v>
      </c>
      <c r="F391" s="6" t="s">
        <v>180</v>
      </c>
      <c r="G391" s="6" t="s">
        <v>358</v>
      </c>
      <c r="H391" s="6" t="s">
        <v>977</v>
      </c>
      <c r="I391" s="6" t="s">
        <v>5</v>
      </c>
      <c r="J391" s="29">
        <v>19.762</v>
      </c>
      <c r="K391" s="8">
        <f t="shared" si="88"/>
        <v>1.2958308949585851</v>
      </c>
      <c r="L391" s="8">
        <f t="shared" si="89"/>
        <v>7.5889310877608622</v>
      </c>
      <c r="M391" s="8"/>
      <c r="N391" s="8"/>
      <c r="O391" s="8"/>
      <c r="P391" s="8"/>
      <c r="Q391" s="8"/>
      <c r="R391" s="8"/>
      <c r="S391" s="8">
        <v>0.90400000000000003</v>
      </c>
      <c r="T391" s="8">
        <f>0.498+0.657+0.665+0.438</f>
        <v>2.258</v>
      </c>
      <c r="U391" s="8"/>
      <c r="V391" s="8"/>
      <c r="W391" s="8"/>
      <c r="X391" s="8">
        <f t="shared" si="90"/>
        <v>2.497787610619469</v>
      </c>
      <c r="Y391" s="31">
        <f t="shared" si="91"/>
        <v>-0.39755550711358573</v>
      </c>
      <c r="Z391" s="31" t="str">
        <f t="shared" si="92"/>
        <v/>
      </c>
      <c r="AA391" s="31">
        <f t="shared" si="93"/>
        <v>-0.39755550711358573</v>
      </c>
    </row>
    <row r="392" spans="1:27" x14ac:dyDescent="0.25">
      <c r="A392" s="6" t="str">
        <f t="shared" si="86"/>
        <v>fragment</v>
      </c>
      <c r="B392" s="6" t="s">
        <v>348</v>
      </c>
      <c r="C392" s="6" t="str">
        <f t="shared" si="87"/>
        <v>HC162 900</v>
      </c>
      <c r="D392" s="6" t="s">
        <v>347</v>
      </c>
      <c r="E392" s="20">
        <v>900</v>
      </c>
      <c r="F392" s="6" t="s">
        <v>180</v>
      </c>
      <c r="G392" s="6" t="s">
        <v>359</v>
      </c>
      <c r="H392" s="6" t="s">
        <v>977</v>
      </c>
      <c r="I392" s="6" t="s">
        <v>5</v>
      </c>
      <c r="J392" s="29"/>
      <c r="K392" s="8" t="str">
        <f t="shared" si="88"/>
        <v/>
      </c>
      <c r="L392" s="8" t="str">
        <f t="shared" si="89"/>
        <v/>
      </c>
      <c r="M392" s="8">
        <v>3.12</v>
      </c>
      <c r="N392" s="8">
        <f>0.855+1.289+1.547+1.292</f>
        <v>4.9829999999999997</v>
      </c>
      <c r="O392" s="8">
        <v>0.66400000000000003</v>
      </c>
      <c r="P392" s="8">
        <f>0.538+0.571+0.666</f>
        <v>1.7749999999999999</v>
      </c>
      <c r="Q392" s="8"/>
      <c r="R392" s="8"/>
      <c r="S392" s="8"/>
      <c r="T392" s="8"/>
      <c r="U392" s="8">
        <f>N392/M392</f>
        <v>1.5971153846153845</v>
      </c>
      <c r="V392" s="8">
        <f t="shared" ref="V392:V407" si="94">P392/O392</f>
        <v>2.6731927710843371</v>
      </c>
      <c r="W392" s="8"/>
      <c r="X392" s="8"/>
      <c r="Y392" s="31">
        <f t="shared" si="91"/>
        <v>-0.3294292202254645</v>
      </c>
      <c r="Z392" s="31">
        <f t="shared" si="92"/>
        <v>-0.3294292202254645</v>
      </c>
      <c r="AA392" s="31" t="str">
        <f t="shared" si="93"/>
        <v/>
      </c>
    </row>
    <row r="393" spans="1:27" x14ac:dyDescent="0.25">
      <c r="A393" s="6" t="str">
        <f t="shared" si="86"/>
        <v>complete</v>
      </c>
      <c r="B393" s="6" t="s">
        <v>348</v>
      </c>
      <c r="C393" s="6" t="str">
        <f t="shared" si="87"/>
        <v>HC162 900</v>
      </c>
      <c r="D393" s="6" t="s">
        <v>347</v>
      </c>
      <c r="E393" s="20">
        <v>900</v>
      </c>
      <c r="F393" s="6" t="s">
        <v>180</v>
      </c>
      <c r="G393" s="6" t="s">
        <v>360</v>
      </c>
      <c r="H393" s="6" t="s">
        <v>977</v>
      </c>
      <c r="I393" s="6" t="s">
        <v>5</v>
      </c>
      <c r="J393" s="29">
        <v>6.7720000000000002</v>
      </c>
      <c r="K393" s="8">
        <f t="shared" si="88"/>
        <v>0.83071694943689767</v>
      </c>
      <c r="L393" s="8">
        <f t="shared" si="89"/>
        <v>6.5179666502589804</v>
      </c>
      <c r="M393" s="8"/>
      <c r="N393" s="8"/>
      <c r="O393" s="8">
        <v>0.495</v>
      </c>
      <c r="P393" s="8">
        <f>0.962+0.333+0.813</f>
        <v>2.1079999999999997</v>
      </c>
      <c r="Q393" s="8"/>
      <c r="R393" s="8"/>
      <c r="S393" s="8"/>
      <c r="T393" s="8"/>
      <c r="U393" s="8"/>
      <c r="V393" s="8">
        <f t="shared" si="94"/>
        <v>4.2585858585858576</v>
      </c>
      <c r="W393" s="8"/>
      <c r="X393" s="8"/>
      <c r="Y393" s="31">
        <f t="shared" si="91"/>
        <v>-0.62926540760694016</v>
      </c>
      <c r="Z393" s="31" t="str">
        <f t="shared" si="92"/>
        <v/>
      </c>
      <c r="AA393" s="31">
        <f t="shared" si="93"/>
        <v>-0.62926540760694016</v>
      </c>
    </row>
    <row r="394" spans="1:27" x14ac:dyDescent="0.25">
      <c r="A394" s="6" t="str">
        <f t="shared" si="86"/>
        <v>complete</v>
      </c>
      <c r="B394" s="6" t="s">
        <v>348</v>
      </c>
      <c r="C394" s="6" t="str">
        <f t="shared" si="87"/>
        <v>HC162 900</v>
      </c>
      <c r="D394" s="6" t="s">
        <v>347</v>
      </c>
      <c r="E394" s="20">
        <v>900</v>
      </c>
      <c r="F394" s="6" t="s">
        <v>180</v>
      </c>
      <c r="G394" s="6" t="s">
        <v>369</v>
      </c>
      <c r="H394" s="6" t="s">
        <v>977</v>
      </c>
      <c r="I394" s="8" t="s">
        <v>5</v>
      </c>
      <c r="J394" s="29">
        <v>18.249690000000001</v>
      </c>
      <c r="K394" s="8">
        <f t="shared" si="88"/>
        <v>1.2612554916728855</v>
      </c>
      <c r="L394" s="8">
        <f t="shared" si="89"/>
        <v>7.5093182795709534</v>
      </c>
      <c r="M394" s="8"/>
      <c r="N394" s="8"/>
      <c r="O394" s="8">
        <v>1.905</v>
      </c>
      <c r="P394" s="8">
        <f>1.015+0.971+0.957+0.386+0.765+0.879</f>
        <v>4.972999999999999</v>
      </c>
      <c r="Q394" s="8"/>
      <c r="R394" s="8"/>
      <c r="S394" s="8"/>
      <c r="T394" s="8"/>
      <c r="U394" s="8"/>
      <c r="V394" s="8">
        <f t="shared" si="94"/>
        <v>2.6104986876640415</v>
      </c>
      <c r="W394" s="8"/>
      <c r="X394" s="8"/>
      <c r="Y394" s="31">
        <f t="shared" si="91"/>
        <v>-0.41672347922058678</v>
      </c>
      <c r="Z394" s="31" t="str">
        <f t="shared" si="92"/>
        <v/>
      </c>
      <c r="AA394" s="31">
        <f t="shared" si="93"/>
        <v>-0.41672347922058678</v>
      </c>
    </row>
    <row r="395" spans="1:27" x14ac:dyDescent="0.25">
      <c r="A395" s="6" t="str">
        <f t="shared" si="86"/>
        <v>complete</v>
      </c>
      <c r="B395" s="6" t="s">
        <v>348</v>
      </c>
      <c r="C395" s="6" t="str">
        <f t="shared" si="87"/>
        <v>HC162 900</v>
      </c>
      <c r="D395" s="6" t="s">
        <v>347</v>
      </c>
      <c r="E395" s="20">
        <v>900</v>
      </c>
      <c r="F395" s="6" t="s">
        <v>180</v>
      </c>
      <c r="G395" s="6" t="s">
        <v>370</v>
      </c>
      <c r="H395" s="6" t="s">
        <v>977</v>
      </c>
      <c r="I395" s="8" t="s">
        <v>5</v>
      </c>
      <c r="J395" s="29">
        <v>20.6248</v>
      </c>
      <c r="K395" s="8">
        <f t="shared" si="88"/>
        <v>1.3143897458611133</v>
      </c>
      <c r="L395" s="8">
        <f t="shared" si="89"/>
        <v>7.6316644211921227</v>
      </c>
      <c r="M395" s="8"/>
      <c r="N395" s="8"/>
      <c r="O395" s="8">
        <v>0.54600000000000004</v>
      </c>
      <c r="P395" s="8">
        <f>0.561+0.95</f>
        <v>1.5110000000000001</v>
      </c>
      <c r="Q395" s="8"/>
      <c r="R395" s="8"/>
      <c r="S395" s="8">
        <v>2.004</v>
      </c>
      <c r="T395" s="8">
        <f>0.959+1.084</f>
        <v>2.0430000000000001</v>
      </c>
      <c r="U395" s="8"/>
      <c r="V395" s="8">
        <f t="shared" si="94"/>
        <v>2.7673992673992673</v>
      </c>
      <c r="W395" s="8"/>
      <c r="X395" s="8">
        <f t="shared" ref="X395:X404" si="95">T395/S395</f>
        <v>1.0194610778443114</v>
      </c>
      <c r="Y395" s="31">
        <f t="shared" si="91"/>
        <v>-0.27724929350531502</v>
      </c>
      <c r="Z395" s="31" t="str">
        <f t="shared" si="92"/>
        <v/>
      </c>
      <c r="AA395" s="31">
        <f t="shared" si="93"/>
        <v>-0.27724929350531502</v>
      </c>
    </row>
    <row r="396" spans="1:27" x14ac:dyDescent="0.25">
      <c r="A396" s="6" t="str">
        <f t="shared" si="86"/>
        <v>complete</v>
      </c>
      <c r="B396" s="6" t="s">
        <v>372</v>
      </c>
      <c r="C396" s="6" t="str">
        <f t="shared" si="87"/>
        <v>HC166 428</v>
      </c>
      <c r="D396" s="6" t="s">
        <v>371</v>
      </c>
      <c r="E396" s="20">
        <v>428</v>
      </c>
      <c r="F396" s="6" t="s">
        <v>154</v>
      </c>
      <c r="G396" s="6" t="s">
        <v>373</v>
      </c>
      <c r="H396" s="6" t="s">
        <v>979</v>
      </c>
      <c r="I396" s="6" t="s">
        <v>20</v>
      </c>
      <c r="J396" s="29">
        <v>29.348790000000001</v>
      </c>
      <c r="K396" s="8">
        <f t="shared" si="88"/>
        <v>1.4675902007401713</v>
      </c>
      <c r="L396" s="8">
        <f t="shared" si="89"/>
        <v>7.9844215048365488</v>
      </c>
      <c r="M396" s="8"/>
      <c r="N396" s="8"/>
      <c r="O396" s="8">
        <v>1.9649999999999999</v>
      </c>
      <c r="P396" s="8">
        <f>0.573+1.557+0.927</f>
        <v>3.0569999999999999</v>
      </c>
      <c r="Q396" s="8"/>
      <c r="R396" s="8"/>
      <c r="S396" s="8">
        <v>2.677</v>
      </c>
      <c r="T396" s="8">
        <f>0.36+1.575+2.041+0.868</f>
        <v>4.8440000000000003</v>
      </c>
      <c r="U396" s="8"/>
      <c r="V396" s="8">
        <f t="shared" si="94"/>
        <v>1.5557251908396947</v>
      </c>
      <c r="W396" s="8"/>
      <c r="X396" s="8">
        <f t="shared" si="95"/>
        <v>1.8094882330967501</v>
      </c>
      <c r="Y396" s="31">
        <f t="shared" si="91"/>
        <v>-0.2259826169966534</v>
      </c>
      <c r="Z396" s="31" t="str">
        <f t="shared" si="92"/>
        <v/>
      </c>
      <c r="AA396" s="31">
        <f t="shared" si="93"/>
        <v>-0.2259826169966534</v>
      </c>
    </row>
    <row r="397" spans="1:27" x14ac:dyDescent="0.25">
      <c r="A397" s="6" t="str">
        <f t="shared" si="86"/>
        <v>complete</v>
      </c>
      <c r="B397" s="6" t="s">
        <v>372</v>
      </c>
      <c r="C397" s="6" t="str">
        <f t="shared" si="87"/>
        <v>HC166 428</v>
      </c>
      <c r="D397" s="6" t="s">
        <v>371</v>
      </c>
      <c r="E397" s="20">
        <v>428</v>
      </c>
      <c r="F397" s="6" t="s">
        <v>154</v>
      </c>
      <c r="G397" s="6" t="s">
        <v>374</v>
      </c>
      <c r="H397" s="6" t="s">
        <v>979</v>
      </c>
      <c r="I397" s="6" t="s">
        <v>20</v>
      </c>
      <c r="J397" s="29">
        <v>24.952999999999999</v>
      </c>
      <c r="K397" s="8">
        <f t="shared" si="88"/>
        <v>1.3971227665975778</v>
      </c>
      <c r="L397" s="8">
        <f t="shared" si="89"/>
        <v>7.8221642414382737</v>
      </c>
      <c r="M397" s="8"/>
      <c r="N397" s="8"/>
      <c r="O397" s="8">
        <v>1.7250000000000001</v>
      </c>
      <c r="P397" s="8">
        <f>0.711+1.262</f>
        <v>1.9729999999999999</v>
      </c>
      <c r="Q397" s="8">
        <v>1.52</v>
      </c>
      <c r="R397" s="8">
        <f>0.606+0.944+0.685</f>
        <v>2.2349999999999999</v>
      </c>
      <c r="S397" s="8">
        <v>1.2130000000000001</v>
      </c>
      <c r="T397" s="8">
        <f>0.574+0.856+0.898</f>
        <v>2.3279999999999998</v>
      </c>
      <c r="U397" s="8"/>
      <c r="V397" s="8">
        <f t="shared" si="94"/>
        <v>1.1437681159420288</v>
      </c>
      <c r="W397" s="8">
        <f t="shared" ref="W397:W402" si="96">R397/Q397</f>
        <v>1.4703947368421051</v>
      </c>
      <c r="X397" s="8">
        <f t="shared" si="95"/>
        <v>1.9192085737840063</v>
      </c>
      <c r="Y397" s="31">
        <f t="shared" si="91"/>
        <v>-0.17930004825710599</v>
      </c>
      <c r="Z397" s="31" t="str">
        <f t="shared" si="92"/>
        <v/>
      </c>
      <c r="AA397" s="31">
        <f t="shared" si="93"/>
        <v>-0.17930004825710599</v>
      </c>
    </row>
    <row r="398" spans="1:27" x14ac:dyDescent="0.25">
      <c r="A398" s="6" t="str">
        <f t="shared" si="86"/>
        <v>complete</v>
      </c>
      <c r="B398" s="6" t="s">
        <v>372</v>
      </c>
      <c r="C398" s="6" t="str">
        <f t="shared" si="87"/>
        <v>HC166 428</v>
      </c>
      <c r="D398" s="6" t="s">
        <v>371</v>
      </c>
      <c r="E398" s="20">
        <v>428</v>
      </c>
      <c r="F398" s="6" t="s">
        <v>154</v>
      </c>
      <c r="G398" s="6" t="s">
        <v>375</v>
      </c>
      <c r="H398" s="6" t="s">
        <v>979</v>
      </c>
      <c r="I398" s="6" t="s">
        <v>20</v>
      </c>
      <c r="J398" s="29">
        <v>39.869</v>
      </c>
      <c r="K398" s="8">
        <f t="shared" si="88"/>
        <v>1.6006353427622595</v>
      </c>
      <c r="L398" s="8">
        <f t="shared" si="89"/>
        <v>8.2907692655518854</v>
      </c>
      <c r="M398" s="8"/>
      <c r="N398" s="8"/>
      <c r="O398" s="8">
        <v>3.4580000000000002</v>
      </c>
      <c r="P398" s="8">
        <f>0.989+1.358+1.242</f>
        <v>3.589</v>
      </c>
      <c r="Q398" s="8">
        <v>2.0390000000000001</v>
      </c>
      <c r="R398" s="8">
        <f>0.726+0.909+1.127</f>
        <v>2.762</v>
      </c>
      <c r="S398" s="8">
        <v>1.909</v>
      </c>
      <c r="T398" s="8">
        <f>0.405+1.044+1.04+0.484</f>
        <v>2.9729999999999999</v>
      </c>
      <c r="U398" s="8"/>
      <c r="V398" s="8">
        <f t="shared" si="94"/>
        <v>1.0378831694621167</v>
      </c>
      <c r="W398" s="8">
        <f t="shared" si="96"/>
        <v>1.3545855811672387</v>
      </c>
      <c r="X398" s="8">
        <f t="shared" si="95"/>
        <v>1.5573598742797274</v>
      </c>
      <c r="Y398" s="31">
        <f t="shared" si="91"/>
        <v>-0.11945699815466568</v>
      </c>
      <c r="Z398" s="31" t="str">
        <f t="shared" si="92"/>
        <v/>
      </c>
      <c r="AA398" s="31">
        <f t="shared" si="93"/>
        <v>-0.11945699815466568</v>
      </c>
    </row>
    <row r="399" spans="1:27" x14ac:dyDescent="0.25">
      <c r="A399" s="6" t="str">
        <f t="shared" si="86"/>
        <v>complete</v>
      </c>
      <c r="B399" s="6" t="s">
        <v>372</v>
      </c>
      <c r="C399" s="6" t="str">
        <f t="shared" si="87"/>
        <v>HC166 428</v>
      </c>
      <c r="D399" s="6" t="s">
        <v>371</v>
      </c>
      <c r="E399" s="20">
        <v>428</v>
      </c>
      <c r="F399" s="6" t="s">
        <v>154</v>
      </c>
      <c r="G399" s="6" t="s">
        <v>376</v>
      </c>
      <c r="H399" s="6" t="s">
        <v>979</v>
      </c>
      <c r="I399" s="6" t="s">
        <v>20</v>
      </c>
      <c r="J399" s="29">
        <v>38.845999999999997</v>
      </c>
      <c r="K399" s="8">
        <f t="shared" si="88"/>
        <v>1.5893463058302726</v>
      </c>
      <c r="L399" s="8">
        <f t="shared" si="89"/>
        <v>8.2647752973980317</v>
      </c>
      <c r="M399" s="8"/>
      <c r="N399" s="8"/>
      <c r="O399" s="8">
        <v>4.6370000000000005</v>
      </c>
      <c r="P399" s="8">
        <f>1.32+1.987+1.344</f>
        <v>4.6510000000000007</v>
      </c>
      <c r="Q399" s="8">
        <v>1.907</v>
      </c>
      <c r="R399" s="8">
        <f>0.401+0.977+1.061+0.355</f>
        <v>2.794</v>
      </c>
      <c r="S399" s="8">
        <v>2.0609999999999999</v>
      </c>
      <c r="T399" s="8">
        <f>0.686+1.36+0.426</f>
        <v>2.4720000000000004</v>
      </c>
      <c r="U399" s="8"/>
      <c r="V399" s="8">
        <f t="shared" si="94"/>
        <v>1.0030191934440371</v>
      </c>
      <c r="W399" s="8">
        <f t="shared" si="96"/>
        <v>1.4651284740429995</v>
      </c>
      <c r="X399" s="8">
        <f t="shared" si="95"/>
        <v>1.1994177583697236</v>
      </c>
      <c r="Y399" s="31">
        <f t="shared" si="91"/>
        <v>-8.7256615262630746E-2</v>
      </c>
      <c r="Z399" s="31" t="str">
        <f t="shared" si="92"/>
        <v/>
      </c>
      <c r="AA399" s="31">
        <f t="shared" si="93"/>
        <v>-8.7256615262630746E-2</v>
      </c>
    </row>
    <row r="400" spans="1:27" x14ac:dyDescent="0.25">
      <c r="A400" s="6" t="str">
        <f t="shared" si="86"/>
        <v>complete</v>
      </c>
      <c r="B400" s="6" t="s">
        <v>372</v>
      </c>
      <c r="C400" s="6" t="str">
        <f t="shared" si="87"/>
        <v>HC166 428</v>
      </c>
      <c r="D400" s="6" t="s">
        <v>371</v>
      </c>
      <c r="E400" s="20">
        <v>428</v>
      </c>
      <c r="F400" s="6" t="s">
        <v>154</v>
      </c>
      <c r="G400" s="6" t="s">
        <v>377</v>
      </c>
      <c r="H400" s="6" t="s">
        <v>979</v>
      </c>
      <c r="I400" s="6" t="s">
        <v>20</v>
      </c>
      <c r="J400" s="29">
        <v>32.192999999999998</v>
      </c>
      <c r="K400" s="8">
        <f t="shared" si="88"/>
        <v>1.5077614495882945</v>
      </c>
      <c r="L400" s="8">
        <f t="shared" si="89"/>
        <v>8.0769192236011911</v>
      </c>
      <c r="M400" s="8"/>
      <c r="N400" s="8"/>
      <c r="O400" s="8">
        <v>2.153</v>
      </c>
      <c r="P400" s="8">
        <f>0.748+1.372+0.752</f>
        <v>2.8719999999999999</v>
      </c>
      <c r="Q400" s="8">
        <v>1.5710000000000002</v>
      </c>
      <c r="R400" s="8">
        <f>0.733+0.835+0.782</f>
        <v>2.35</v>
      </c>
      <c r="S400" s="8">
        <v>1.093</v>
      </c>
      <c r="T400" s="8">
        <f>0.748+0.789</f>
        <v>1.5369999999999999</v>
      </c>
      <c r="U400" s="8"/>
      <c r="V400" s="8">
        <f t="shared" si="94"/>
        <v>1.3339526242452391</v>
      </c>
      <c r="W400" s="8">
        <f t="shared" si="96"/>
        <v>1.4958625079567154</v>
      </c>
      <c r="X400" s="8">
        <f t="shared" si="95"/>
        <v>1.4062214089661482</v>
      </c>
      <c r="Y400" s="31">
        <f t="shared" si="91"/>
        <v>-0.149838443070653</v>
      </c>
      <c r="Z400" s="31" t="str">
        <f t="shared" si="92"/>
        <v/>
      </c>
      <c r="AA400" s="31">
        <f t="shared" si="93"/>
        <v>-0.149838443070653</v>
      </c>
    </row>
    <row r="401" spans="1:27" x14ac:dyDescent="0.25">
      <c r="A401" s="6" t="str">
        <f t="shared" si="86"/>
        <v>complete</v>
      </c>
      <c r="B401" s="6" t="s">
        <v>372</v>
      </c>
      <c r="C401" s="6" t="str">
        <f t="shared" si="87"/>
        <v>HC166 428</v>
      </c>
      <c r="D401" s="6" t="s">
        <v>371</v>
      </c>
      <c r="E401" s="20">
        <v>428</v>
      </c>
      <c r="F401" s="6" t="s">
        <v>154</v>
      </c>
      <c r="G401" s="6" t="s">
        <v>378</v>
      </c>
      <c r="H401" s="6" t="s">
        <v>979</v>
      </c>
      <c r="I401" s="6" t="s">
        <v>20</v>
      </c>
      <c r="J401" s="29">
        <v>49.975000000000001</v>
      </c>
      <c r="K401" s="8">
        <f t="shared" si="88"/>
        <v>1.6987528027901546</v>
      </c>
      <c r="L401" s="8">
        <f t="shared" si="89"/>
        <v>8.5166930663745557</v>
      </c>
      <c r="M401" s="8"/>
      <c r="N401" s="8"/>
      <c r="O401" s="8">
        <v>5.0529999999999999</v>
      </c>
      <c r="P401" s="8">
        <f>2.206+1.831</f>
        <v>4.0369999999999999</v>
      </c>
      <c r="Q401" s="8">
        <v>1.6830000000000001</v>
      </c>
      <c r="R401" s="8">
        <f>0.816+1.233</f>
        <v>2.0489999999999999</v>
      </c>
      <c r="S401" s="8">
        <v>3.278</v>
      </c>
      <c r="T401" s="8">
        <f>1.176+1.804</f>
        <v>2.98</v>
      </c>
      <c r="U401" s="8"/>
      <c r="V401" s="8">
        <f t="shared" si="94"/>
        <v>0.79893132792400556</v>
      </c>
      <c r="W401" s="8">
        <f t="shared" si="96"/>
        <v>1.2174688057040997</v>
      </c>
      <c r="X401" s="8">
        <f t="shared" si="95"/>
        <v>0.90909090909090906</v>
      </c>
      <c r="Y401" s="31">
        <f t="shared" si="91"/>
        <v>1.0922481995591709E-2</v>
      </c>
      <c r="Z401" s="31" t="str">
        <f t="shared" si="92"/>
        <v/>
      </c>
      <c r="AA401" s="31">
        <f t="shared" si="93"/>
        <v>1.0922481995591709E-2</v>
      </c>
    </row>
    <row r="402" spans="1:27" x14ac:dyDescent="0.25">
      <c r="A402" s="6" t="str">
        <f t="shared" si="86"/>
        <v>complete</v>
      </c>
      <c r="B402" s="6" t="s">
        <v>372</v>
      </c>
      <c r="C402" s="6" t="str">
        <f t="shared" si="87"/>
        <v>HC166 428</v>
      </c>
      <c r="D402" s="6" t="s">
        <v>371</v>
      </c>
      <c r="E402" s="20">
        <v>428</v>
      </c>
      <c r="F402" s="6" t="s">
        <v>154</v>
      </c>
      <c r="G402" s="6" t="s">
        <v>379</v>
      </c>
      <c r="H402" s="6" t="s">
        <v>979</v>
      </c>
      <c r="I402" s="6" t="s">
        <v>20</v>
      </c>
      <c r="J402" s="29">
        <v>50.744999999999997</v>
      </c>
      <c r="K402" s="8">
        <f t="shared" si="88"/>
        <v>1.7053932568436618</v>
      </c>
      <c r="L402" s="8">
        <f t="shared" si="89"/>
        <v>8.531983276888873</v>
      </c>
      <c r="M402" s="8"/>
      <c r="N402" s="8"/>
      <c r="O402" s="8">
        <v>7.2539999999999996</v>
      </c>
      <c r="P402" s="8">
        <f>0.98+2.043+2.884+1.972</f>
        <v>7.8789999999999996</v>
      </c>
      <c r="Q402" s="8">
        <v>2.0379999999999998</v>
      </c>
      <c r="R402" s="8">
        <f>0.822+0.952+1.013</f>
        <v>2.7869999999999999</v>
      </c>
      <c r="S402" s="8">
        <v>2.3159999999999998</v>
      </c>
      <c r="T402" s="8">
        <f>0.968+1.24+0.93</f>
        <v>3.1380000000000003</v>
      </c>
      <c r="U402" s="8"/>
      <c r="V402" s="8">
        <f t="shared" si="94"/>
        <v>1.0861593603529087</v>
      </c>
      <c r="W402" s="8">
        <f t="shared" si="96"/>
        <v>1.3675171736997056</v>
      </c>
      <c r="X402" s="8">
        <f t="shared" si="95"/>
        <v>1.3549222797927463</v>
      </c>
      <c r="Y402" s="31">
        <f t="shared" si="91"/>
        <v>-0.10364397309764091</v>
      </c>
      <c r="Z402" s="31" t="str">
        <f t="shared" si="92"/>
        <v/>
      </c>
      <c r="AA402" s="31">
        <f t="shared" si="93"/>
        <v>-0.10364397309764091</v>
      </c>
    </row>
    <row r="403" spans="1:27" x14ac:dyDescent="0.25">
      <c r="A403" s="6" t="str">
        <f t="shared" si="86"/>
        <v>complete</v>
      </c>
      <c r="B403" s="6" t="s">
        <v>372</v>
      </c>
      <c r="C403" s="6" t="str">
        <f t="shared" si="87"/>
        <v>HC166 428</v>
      </c>
      <c r="D403" s="6" t="s">
        <v>371</v>
      </c>
      <c r="E403" s="20">
        <v>428</v>
      </c>
      <c r="F403" s="6" t="s">
        <v>154</v>
      </c>
      <c r="G403" s="6" t="s">
        <v>380</v>
      </c>
      <c r="H403" s="6" t="s">
        <v>979</v>
      </c>
      <c r="I403" s="6" t="s">
        <v>20</v>
      </c>
      <c r="J403" s="29">
        <v>61.551310000000001</v>
      </c>
      <c r="K403" s="8">
        <f t="shared" si="88"/>
        <v>1.7892373004796343</v>
      </c>
      <c r="L403" s="8">
        <f t="shared" si="89"/>
        <v>8.725041321901406</v>
      </c>
      <c r="M403" s="8"/>
      <c r="N403" s="8"/>
      <c r="O403" s="8">
        <v>4.3609999999999998</v>
      </c>
      <c r="P403" s="8">
        <f>1.342+1.779+1.699+0.805</f>
        <v>5.625</v>
      </c>
      <c r="Q403" s="8"/>
      <c r="R403" s="8"/>
      <c r="S403" s="8">
        <v>3.7389999999999999</v>
      </c>
      <c r="T403" s="8">
        <f>1.421+1.49+1.459+0.789</f>
        <v>5.1589999999999998</v>
      </c>
      <c r="U403" s="8"/>
      <c r="V403" s="8">
        <f t="shared" si="94"/>
        <v>1.2898417794083927</v>
      </c>
      <c r="W403" s="8"/>
      <c r="X403" s="8">
        <f t="shared" si="95"/>
        <v>1.3797806900240706</v>
      </c>
      <c r="Y403" s="31">
        <f t="shared" si="91"/>
        <v>-0.12541985332792427</v>
      </c>
      <c r="Z403" s="31" t="str">
        <f t="shared" si="92"/>
        <v/>
      </c>
      <c r="AA403" s="31">
        <f t="shared" si="93"/>
        <v>-0.12541985332792427</v>
      </c>
    </row>
    <row r="404" spans="1:27" x14ac:dyDescent="0.25">
      <c r="A404" s="6" t="str">
        <f t="shared" si="86"/>
        <v>complete</v>
      </c>
      <c r="B404" s="6" t="s">
        <v>372</v>
      </c>
      <c r="C404" s="6" t="str">
        <f t="shared" si="87"/>
        <v>HC166 428</v>
      </c>
      <c r="D404" s="6" t="s">
        <v>371</v>
      </c>
      <c r="E404" s="20">
        <v>428</v>
      </c>
      <c r="F404" s="6" t="s">
        <v>154</v>
      </c>
      <c r="G404" s="6" t="s">
        <v>381</v>
      </c>
      <c r="H404" s="6" t="s">
        <v>979</v>
      </c>
      <c r="I404" s="6" t="s">
        <v>20</v>
      </c>
      <c r="J404" s="29">
        <f>25.144*2</f>
        <v>50.287999999999997</v>
      </c>
      <c r="K404" s="8">
        <f t="shared" si="88"/>
        <v>1.7014643636735047</v>
      </c>
      <c r="L404" s="8">
        <f t="shared" si="89"/>
        <v>8.5229366660433037</v>
      </c>
      <c r="M404" s="8"/>
      <c r="N404" s="8"/>
      <c r="O404" s="8">
        <v>3.7160000000000002</v>
      </c>
      <c r="P404" s="8">
        <f>0.986+1.574+1.086</f>
        <v>3.6459999999999999</v>
      </c>
      <c r="Q404" s="8">
        <v>2.052</v>
      </c>
      <c r="R404" s="8">
        <f>0.618+1.116+0.895</f>
        <v>2.629</v>
      </c>
      <c r="S404" s="8">
        <v>1.885</v>
      </c>
      <c r="T404" s="8">
        <f>1.059+1.15+0.584</f>
        <v>2.7929999999999997</v>
      </c>
      <c r="U404" s="8"/>
      <c r="V404" s="8">
        <f t="shared" si="94"/>
        <v>0.98116254036598483</v>
      </c>
      <c r="W404" s="8">
        <f>R404/Q404</f>
        <v>1.2811890838206628</v>
      </c>
      <c r="X404" s="8">
        <f t="shared" si="95"/>
        <v>1.4816976127320953</v>
      </c>
      <c r="Y404" s="31">
        <f t="shared" si="91"/>
        <v>-9.6220296666253563E-2</v>
      </c>
      <c r="Z404" s="31" t="str">
        <f t="shared" si="92"/>
        <v/>
      </c>
      <c r="AA404" s="31">
        <f t="shared" si="93"/>
        <v>-9.6220296666253563E-2</v>
      </c>
    </row>
    <row r="405" spans="1:27" x14ac:dyDescent="0.25">
      <c r="A405" s="6" t="str">
        <f t="shared" si="86"/>
        <v>complete</v>
      </c>
      <c r="B405" s="6" t="s">
        <v>372</v>
      </c>
      <c r="C405" s="6" t="str">
        <f t="shared" si="87"/>
        <v>HC166 428</v>
      </c>
      <c r="D405" s="6" t="s">
        <v>371</v>
      </c>
      <c r="E405" s="20">
        <v>428</v>
      </c>
      <c r="F405" s="6" t="s">
        <v>154</v>
      </c>
      <c r="G405" s="6" t="s">
        <v>382</v>
      </c>
      <c r="H405" s="6" t="s">
        <v>979</v>
      </c>
      <c r="I405" s="6" t="s">
        <v>20</v>
      </c>
      <c r="J405" s="29">
        <f>32.711*2</f>
        <v>65.421999999999997</v>
      </c>
      <c r="K405" s="8">
        <f t="shared" si="88"/>
        <v>1.8157238167025513</v>
      </c>
      <c r="L405" s="8">
        <f t="shared" si="89"/>
        <v>8.7860287793216383</v>
      </c>
      <c r="M405" s="8"/>
      <c r="N405" s="8"/>
      <c r="O405" s="8">
        <v>3.5270000000000001</v>
      </c>
      <c r="P405" s="8">
        <f>1.502+1.655</f>
        <v>3.157</v>
      </c>
      <c r="Q405" s="8">
        <v>2.5350000000000001</v>
      </c>
      <c r="R405" s="8">
        <f>0.715+1.097+1.097</f>
        <v>2.9089999999999998</v>
      </c>
      <c r="S405" s="8"/>
      <c r="T405" s="8"/>
      <c r="U405" s="8"/>
      <c r="V405" s="8">
        <f t="shared" si="94"/>
        <v>0.89509498157073997</v>
      </c>
      <c r="W405" s="8">
        <f>R405/Q405</f>
        <v>1.147534516765286</v>
      </c>
      <c r="X405" s="8"/>
      <c r="Y405" s="31">
        <f t="shared" si="91"/>
        <v>-9.1596037534232965E-3</v>
      </c>
      <c r="Z405" s="31" t="str">
        <f t="shared" si="92"/>
        <v/>
      </c>
      <c r="AA405" s="31">
        <f t="shared" si="93"/>
        <v>-9.1596037534232965E-3</v>
      </c>
    </row>
    <row r="406" spans="1:27" x14ac:dyDescent="0.25">
      <c r="A406" s="6" t="str">
        <f t="shared" si="86"/>
        <v>fragment</v>
      </c>
      <c r="B406" s="6" t="s">
        <v>372</v>
      </c>
      <c r="C406" s="6" t="str">
        <f t="shared" si="87"/>
        <v>HC166 428</v>
      </c>
      <c r="D406" s="6" t="s">
        <v>371</v>
      </c>
      <c r="E406" s="20">
        <v>428</v>
      </c>
      <c r="F406" s="6" t="s">
        <v>154</v>
      </c>
      <c r="G406" s="6" t="s">
        <v>383</v>
      </c>
      <c r="H406" s="6" t="s">
        <v>979</v>
      </c>
      <c r="I406" s="6" t="s">
        <v>20</v>
      </c>
      <c r="J406" s="29"/>
      <c r="K406" s="8" t="str">
        <f t="shared" si="88"/>
        <v/>
      </c>
      <c r="L406" s="8" t="str">
        <f t="shared" si="89"/>
        <v/>
      </c>
      <c r="M406" s="8"/>
      <c r="N406" s="8"/>
      <c r="O406" s="8">
        <v>4.867</v>
      </c>
      <c r="P406" s="8">
        <f>1.651+1.922+1.14</f>
        <v>4.7130000000000001</v>
      </c>
      <c r="Q406" s="8"/>
      <c r="R406" s="8"/>
      <c r="S406" s="8">
        <v>3.31</v>
      </c>
      <c r="T406" s="8">
        <f>1.992+0.512</f>
        <v>2.504</v>
      </c>
      <c r="U406" s="8"/>
      <c r="V406" s="8">
        <f t="shared" si="94"/>
        <v>0.96835833162112184</v>
      </c>
      <c r="W406" s="8"/>
      <c r="X406" s="8">
        <f>T406/S406</f>
        <v>0.75649546827794556</v>
      </c>
      <c r="Y406" s="31">
        <f t="shared" si="91"/>
        <v>6.427770587086884E-2</v>
      </c>
      <c r="Z406" s="31">
        <f t="shared" si="92"/>
        <v>6.427770587086884E-2</v>
      </c>
      <c r="AA406" s="31" t="str">
        <f t="shared" si="93"/>
        <v/>
      </c>
    </row>
    <row r="407" spans="1:27" x14ac:dyDescent="0.25">
      <c r="A407" s="6" t="str">
        <f t="shared" si="86"/>
        <v>fragment</v>
      </c>
      <c r="B407" s="6" t="s">
        <v>372</v>
      </c>
      <c r="C407" s="6" t="str">
        <f t="shared" si="87"/>
        <v>HC166 428</v>
      </c>
      <c r="D407" s="6" t="s">
        <v>371</v>
      </c>
      <c r="E407" s="20">
        <v>428</v>
      </c>
      <c r="F407" s="6" t="s">
        <v>154</v>
      </c>
      <c r="G407" s="6" t="s">
        <v>384</v>
      </c>
      <c r="H407" s="6" t="s">
        <v>979</v>
      </c>
      <c r="I407" s="6" t="s">
        <v>20</v>
      </c>
      <c r="J407" s="29"/>
      <c r="K407" s="8" t="str">
        <f t="shared" si="88"/>
        <v/>
      </c>
      <c r="L407" s="8" t="str">
        <f t="shared" si="89"/>
        <v/>
      </c>
      <c r="M407" s="8"/>
      <c r="N407" s="8"/>
      <c r="O407" s="8">
        <v>2.2850000000000001</v>
      </c>
      <c r="P407" s="8">
        <f>0.92+1.146+0.658</f>
        <v>2.7239999999999998</v>
      </c>
      <c r="Q407" s="8">
        <v>1.099</v>
      </c>
      <c r="R407" s="8">
        <f>0.568+0.881</f>
        <v>1.4489999999999998</v>
      </c>
      <c r="S407" s="8">
        <v>2.431</v>
      </c>
      <c r="T407" s="8">
        <f>1.059+1.365+0.54</f>
        <v>2.964</v>
      </c>
      <c r="U407" s="8"/>
      <c r="V407" s="8">
        <f t="shared" si="94"/>
        <v>1.1921225382932163</v>
      </c>
      <c r="W407" s="8">
        <f>R407/Q407</f>
        <v>1.3184713375796178</v>
      </c>
      <c r="X407" s="8">
        <f>T407/S407</f>
        <v>1.2192513368983957</v>
      </c>
      <c r="Y407" s="31">
        <f t="shared" si="91"/>
        <v>-9.4569554398897887E-2</v>
      </c>
      <c r="Z407" s="31">
        <f t="shared" si="92"/>
        <v>-9.4569554398897887E-2</v>
      </c>
      <c r="AA407" s="31" t="str">
        <f t="shared" si="93"/>
        <v/>
      </c>
    </row>
    <row r="408" spans="1:27" x14ac:dyDescent="0.25">
      <c r="A408" s="6" t="str">
        <f t="shared" si="86"/>
        <v>fragment</v>
      </c>
      <c r="B408" s="6" t="s">
        <v>372</v>
      </c>
      <c r="C408" s="6" t="str">
        <f t="shared" si="87"/>
        <v>HC166 428</v>
      </c>
      <c r="D408" s="6" t="s">
        <v>371</v>
      </c>
      <c r="E408" s="20">
        <v>428</v>
      </c>
      <c r="F408" s="6" t="s">
        <v>154</v>
      </c>
      <c r="G408" s="6" t="s">
        <v>385</v>
      </c>
      <c r="H408" s="6" t="s">
        <v>979</v>
      </c>
      <c r="I408" s="6" t="s">
        <v>20</v>
      </c>
      <c r="J408" s="29"/>
      <c r="K408" s="8" t="str">
        <f t="shared" si="88"/>
        <v/>
      </c>
      <c r="L408" s="8" t="str">
        <f t="shared" si="89"/>
        <v/>
      </c>
      <c r="M408" s="8"/>
      <c r="N408" s="8"/>
      <c r="O408" s="8"/>
      <c r="P408" s="8"/>
      <c r="Q408" s="8"/>
      <c r="R408" s="8"/>
      <c r="S408" s="8">
        <v>3.8879999999999999</v>
      </c>
      <c r="T408" s="8">
        <f>0.323+1.891+1.576+1.024</f>
        <v>4.8140000000000001</v>
      </c>
      <c r="U408" s="8"/>
      <c r="V408" s="8"/>
      <c r="W408" s="8"/>
      <c r="X408" s="8">
        <f>T408/S408</f>
        <v>1.2381687242798354</v>
      </c>
      <c r="Y408" s="31">
        <f t="shared" si="91"/>
        <v>-9.2779829684774232E-2</v>
      </c>
      <c r="Z408" s="31">
        <f t="shared" si="92"/>
        <v>-9.2779829684774232E-2</v>
      </c>
      <c r="AA408" s="31" t="str">
        <f t="shared" si="93"/>
        <v/>
      </c>
    </row>
    <row r="409" spans="1:27" x14ac:dyDescent="0.25">
      <c r="A409" s="6" t="str">
        <f t="shared" si="86"/>
        <v>complete</v>
      </c>
      <c r="B409" s="6" t="s">
        <v>372</v>
      </c>
      <c r="C409" s="6" t="str">
        <f t="shared" si="87"/>
        <v>HC166 428</v>
      </c>
      <c r="D409" s="6" t="s">
        <v>371</v>
      </c>
      <c r="E409" s="20">
        <v>428</v>
      </c>
      <c r="F409" s="6" t="s">
        <v>154</v>
      </c>
      <c r="G409" s="6" t="s">
        <v>386</v>
      </c>
      <c r="H409" s="6" t="s">
        <v>979</v>
      </c>
      <c r="I409" s="6" t="s">
        <v>20</v>
      </c>
      <c r="J409" s="29">
        <f>11.929*2</f>
        <v>23.858000000000001</v>
      </c>
      <c r="K409" s="8">
        <f t="shared" si="88"/>
        <v>1.3776340342475921</v>
      </c>
      <c r="L409" s="8">
        <f t="shared" si="89"/>
        <v>7.7772897768478453</v>
      </c>
      <c r="M409" s="8"/>
      <c r="N409" s="8"/>
      <c r="O409" s="8">
        <v>2.1110000000000002</v>
      </c>
      <c r="P409" s="8">
        <f>1.021+1.311+1.008</f>
        <v>3.34</v>
      </c>
      <c r="Q409" s="8">
        <v>1.1830000000000001</v>
      </c>
      <c r="R409" s="8">
        <f>0.648+0.704+0.677+0.337</f>
        <v>2.3660000000000001</v>
      </c>
      <c r="S409" s="8"/>
      <c r="T409" s="8"/>
      <c r="U409" s="8"/>
      <c r="V409" s="8">
        <f t="shared" ref="V409:V451" si="97">P409/O409</f>
        <v>1.5821885362387491</v>
      </c>
      <c r="W409" s="8">
        <f>R409/Q409</f>
        <v>2</v>
      </c>
      <c r="X409" s="8"/>
      <c r="Y409" s="31">
        <f t="shared" si="91"/>
        <v>-0.25311844405487915</v>
      </c>
      <c r="Z409" s="31" t="str">
        <f t="shared" si="92"/>
        <v/>
      </c>
      <c r="AA409" s="31">
        <f t="shared" si="93"/>
        <v>-0.25311844405487915</v>
      </c>
    </row>
    <row r="410" spans="1:27" x14ac:dyDescent="0.25">
      <c r="A410" s="6" t="str">
        <f t="shared" si="86"/>
        <v>complete</v>
      </c>
      <c r="B410" s="6" t="s">
        <v>372</v>
      </c>
      <c r="C410" s="6" t="str">
        <f t="shared" si="87"/>
        <v>HC166 428</v>
      </c>
      <c r="D410" s="6" t="s">
        <v>371</v>
      </c>
      <c r="E410" s="20">
        <v>428</v>
      </c>
      <c r="F410" s="6" t="s">
        <v>154</v>
      </c>
      <c r="G410" s="6" t="s">
        <v>387</v>
      </c>
      <c r="H410" s="6" t="s">
        <v>979</v>
      </c>
      <c r="I410" s="6" t="s">
        <v>20</v>
      </c>
      <c r="J410" s="29">
        <f>14.441*2</f>
        <v>28.882000000000001</v>
      </c>
      <c r="K410" s="8">
        <f t="shared" si="88"/>
        <v>1.4606272636513895</v>
      </c>
      <c r="L410" s="8">
        <f t="shared" si="89"/>
        <v>7.9683887496924646</v>
      </c>
      <c r="M410" s="8"/>
      <c r="N410" s="8"/>
      <c r="O410" s="8">
        <v>1.9470000000000001</v>
      </c>
      <c r="P410" s="8">
        <f>0.863+1.038+1.106</f>
        <v>3.0070000000000001</v>
      </c>
      <c r="Q410" s="8">
        <v>1.522</v>
      </c>
      <c r="R410" s="8">
        <f>0.769+1.087+0.517</f>
        <v>2.3729999999999998</v>
      </c>
      <c r="S410" s="8">
        <v>1.387</v>
      </c>
      <c r="T410" s="8">
        <f>0.724+0.986+0.86</f>
        <v>2.57</v>
      </c>
      <c r="U410" s="8"/>
      <c r="V410" s="8">
        <f t="shared" si="97"/>
        <v>1.544427324088341</v>
      </c>
      <c r="W410" s="8">
        <f>R410/Q410</f>
        <v>1.5591327201051246</v>
      </c>
      <c r="X410" s="8">
        <f>T410/S410</f>
        <v>1.8529199711607784</v>
      </c>
      <c r="Y410" s="31">
        <f t="shared" si="91"/>
        <v>-0.21805210471249145</v>
      </c>
      <c r="Z410" s="31" t="str">
        <f t="shared" si="92"/>
        <v/>
      </c>
      <c r="AA410" s="31">
        <f t="shared" si="93"/>
        <v>-0.21805210471249145</v>
      </c>
    </row>
    <row r="411" spans="1:27" x14ac:dyDescent="0.25">
      <c r="A411" s="6" t="str">
        <f t="shared" si="86"/>
        <v>fragment</v>
      </c>
      <c r="B411" s="6" t="s">
        <v>372</v>
      </c>
      <c r="C411" s="6" t="str">
        <f t="shared" si="87"/>
        <v>HC166 428</v>
      </c>
      <c r="D411" s="6" t="s">
        <v>371</v>
      </c>
      <c r="E411" s="20">
        <v>428</v>
      </c>
      <c r="F411" s="6" t="s">
        <v>154</v>
      </c>
      <c r="G411" s="6" t="s">
        <v>388</v>
      </c>
      <c r="H411" s="6" t="s">
        <v>979</v>
      </c>
      <c r="I411" s="6" t="s">
        <v>20</v>
      </c>
      <c r="J411" s="29"/>
      <c r="K411" s="8" t="str">
        <f t="shared" si="88"/>
        <v/>
      </c>
      <c r="L411" s="8" t="str">
        <f t="shared" si="89"/>
        <v/>
      </c>
      <c r="M411" s="8"/>
      <c r="N411" s="8"/>
      <c r="O411" s="8">
        <v>1.5409999999999999</v>
      </c>
      <c r="P411" s="8">
        <f>0.861+1.013</f>
        <v>1.8739999999999999</v>
      </c>
      <c r="Q411" s="8"/>
      <c r="R411" s="8"/>
      <c r="S411" s="8">
        <v>1.58</v>
      </c>
      <c r="T411" s="8">
        <f>0.632+0.874+0.758</f>
        <v>2.2640000000000002</v>
      </c>
      <c r="U411" s="8"/>
      <c r="V411" s="8">
        <f t="shared" si="97"/>
        <v>1.2160934458144061</v>
      </c>
      <c r="W411" s="8"/>
      <c r="X411" s="8">
        <f>T411/S411</f>
        <v>1.4329113924050634</v>
      </c>
      <c r="Y411" s="31">
        <f t="shared" si="91"/>
        <v>-0.12205275584204525</v>
      </c>
      <c r="Z411" s="31">
        <f t="shared" si="92"/>
        <v>-0.12205275584204525</v>
      </c>
      <c r="AA411" s="31" t="str">
        <f t="shared" si="93"/>
        <v/>
      </c>
    </row>
    <row r="412" spans="1:27" x14ac:dyDescent="0.25">
      <c r="A412" s="6" t="str">
        <f t="shared" si="86"/>
        <v>complete</v>
      </c>
      <c r="B412" s="6" t="s">
        <v>372</v>
      </c>
      <c r="C412" s="6" t="str">
        <f t="shared" si="87"/>
        <v>HC166 428</v>
      </c>
      <c r="D412" s="6" t="s">
        <v>371</v>
      </c>
      <c r="E412" s="20">
        <v>428</v>
      </c>
      <c r="F412" s="6" t="s">
        <v>154</v>
      </c>
      <c r="G412" s="6" t="s">
        <v>389</v>
      </c>
      <c r="H412" s="6" t="s">
        <v>979</v>
      </c>
      <c r="I412" s="6" t="s">
        <v>20</v>
      </c>
      <c r="J412" s="29">
        <f>24.062*2</f>
        <v>48.124000000000002</v>
      </c>
      <c r="K412" s="8">
        <f t="shared" si="88"/>
        <v>1.6823617181218742</v>
      </c>
      <c r="L412" s="8">
        <f t="shared" si="89"/>
        <v>8.4789511991593702</v>
      </c>
      <c r="M412" s="8"/>
      <c r="N412" s="8"/>
      <c r="O412" s="8">
        <v>3.302</v>
      </c>
      <c r="P412" s="8">
        <f>0.851+1.497+1.565</f>
        <v>3.9129999999999998</v>
      </c>
      <c r="Q412" s="8">
        <v>2.8559999999999999</v>
      </c>
      <c r="R412" s="8">
        <f>0.969+1.266+1.244</f>
        <v>3.4790000000000001</v>
      </c>
      <c r="S412" s="8"/>
      <c r="T412" s="8"/>
      <c r="U412" s="8"/>
      <c r="V412" s="8">
        <f t="shared" si="97"/>
        <v>1.1850393700787401</v>
      </c>
      <c r="W412" s="8">
        <f>R412/Q412</f>
        <v>1.2181372549019609</v>
      </c>
      <c r="X412" s="8"/>
      <c r="Y412" s="31">
        <f t="shared" si="91"/>
        <v>-7.9755695421050751E-2</v>
      </c>
      <c r="Z412" s="31" t="str">
        <f t="shared" si="92"/>
        <v/>
      </c>
      <c r="AA412" s="31">
        <f t="shared" si="93"/>
        <v>-7.9755695421050751E-2</v>
      </c>
    </row>
    <row r="413" spans="1:27" x14ac:dyDescent="0.25">
      <c r="A413" s="6" t="str">
        <f t="shared" si="86"/>
        <v>complete</v>
      </c>
      <c r="B413" s="6" t="s">
        <v>372</v>
      </c>
      <c r="C413" s="6" t="str">
        <f t="shared" si="87"/>
        <v>HC166 428</v>
      </c>
      <c r="D413" s="6" t="s">
        <v>371</v>
      </c>
      <c r="E413" s="20">
        <v>428</v>
      </c>
      <c r="F413" s="6" t="s">
        <v>154</v>
      </c>
      <c r="G413" s="6" t="s">
        <v>390</v>
      </c>
      <c r="H413" s="6" t="s">
        <v>979</v>
      </c>
      <c r="I413" s="6" t="s">
        <v>20</v>
      </c>
      <c r="J413" s="29">
        <f>33.816*2</f>
        <v>67.632000000000005</v>
      </c>
      <c r="K413" s="8">
        <f t="shared" si="88"/>
        <v>1.8301522304849436</v>
      </c>
      <c r="L413" s="8">
        <f t="shared" si="89"/>
        <v>8.8192514298125264</v>
      </c>
      <c r="M413" s="8"/>
      <c r="N413" s="8"/>
      <c r="O413" s="8">
        <v>6.62</v>
      </c>
      <c r="P413" s="8">
        <f>0.992+2.701+2.701+1.516</f>
        <v>7.91</v>
      </c>
      <c r="Q413" s="8">
        <v>4.3369999999999997</v>
      </c>
      <c r="R413" s="8">
        <f>0.872+1.662+1.293</f>
        <v>3.827</v>
      </c>
      <c r="S413" s="8"/>
      <c r="T413" s="8"/>
      <c r="U413" s="8"/>
      <c r="V413" s="8">
        <f t="shared" si="97"/>
        <v>1.1948640483383686</v>
      </c>
      <c r="W413" s="8">
        <f>R413/Q413</f>
        <v>0.88240719391284306</v>
      </c>
      <c r="X413" s="8"/>
      <c r="Y413" s="31">
        <f t="shared" si="91"/>
        <v>-1.6463213110766386E-2</v>
      </c>
      <c r="Z413" s="31" t="str">
        <f t="shared" si="92"/>
        <v/>
      </c>
      <c r="AA413" s="31">
        <f t="shared" si="93"/>
        <v>-1.6463213110766386E-2</v>
      </c>
    </row>
    <row r="414" spans="1:27" x14ac:dyDescent="0.25">
      <c r="A414" s="6" t="str">
        <f t="shared" si="86"/>
        <v>fragment</v>
      </c>
      <c r="B414" s="6" t="s">
        <v>372</v>
      </c>
      <c r="C414" s="6" t="str">
        <f t="shared" si="87"/>
        <v>HC166 428</v>
      </c>
      <c r="D414" s="6" t="s">
        <v>371</v>
      </c>
      <c r="E414" s="20">
        <v>428</v>
      </c>
      <c r="F414" s="6" t="s">
        <v>154</v>
      </c>
      <c r="G414" s="6" t="s">
        <v>391</v>
      </c>
      <c r="H414" s="6" t="s">
        <v>979</v>
      </c>
      <c r="I414" s="6" t="s">
        <v>20</v>
      </c>
      <c r="J414" s="29"/>
      <c r="K414" s="8" t="str">
        <f t="shared" si="88"/>
        <v/>
      </c>
      <c r="L414" s="8" t="str">
        <f t="shared" si="89"/>
        <v/>
      </c>
      <c r="M414" s="8"/>
      <c r="N414" s="8"/>
      <c r="O414" s="8">
        <v>2.0299999999999998</v>
      </c>
      <c r="P414" s="8">
        <f>0.608+0.994+1.098</f>
        <v>2.7</v>
      </c>
      <c r="Q414" s="8">
        <v>0.94200000000000006</v>
      </c>
      <c r="R414" s="8">
        <f>0.572+0.649</f>
        <v>1.2210000000000001</v>
      </c>
      <c r="S414" s="8">
        <v>2.1669999999999998</v>
      </c>
      <c r="T414" s="8">
        <f>0.485+0.98+1.126+0.454</f>
        <v>3.0449999999999999</v>
      </c>
      <c r="U414" s="8"/>
      <c r="V414" s="8">
        <f t="shared" si="97"/>
        <v>1.330049261083744</v>
      </c>
      <c r="W414" s="8">
        <f>R414/Q414</f>
        <v>1.2961783439490446</v>
      </c>
      <c r="X414" s="8">
        <f>T414/S414</f>
        <v>1.4051684356252885</v>
      </c>
      <c r="Y414" s="31">
        <f t="shared" si="91"/>
        <v>-0.12833421022169408</v>
      </c>
      <c r="Z414" s="31">
        <f t="shared" si="92"/>
        <v>-0.12833421022169408</v>
      </c>
      <c r="AA414" s="31" t="str">
        <f t="shared" si="93"/>
        <v/>
      </c>
    </row>
    <row r="415" spans="1:27" x14ac:dyDescent="0.25">
      <c r="A415" s="6" t="str">
        <f t="shared" si="86"/>
        <v>fragment</v>
      </c>
      <c r="B415" s="6" t="s">
        <v>372</v>
      </c>
      <c r="C415" s="6" t="str">
        <f t="shared" si="87"/>
        <v>HC166 428</v>
      </c>
      <c r="D415" s="6" t="s">
        <v>371</v>
      </c>
      <c r="E415" s="20">
        <v>428</v>
      </c>
      <c r="F415" s="6" t="s">
        <v>154</v>
      </c>
      <c r="G415" s="6" t="s">
        <v>392</v>
      </c>
      <c r="H415" s="6" t="s">
        <v>979</v>
      </c>
      <c r="I415" s="6" t="s">
        <v>20</v>
      </c>
      <c r="J415" s="29"/>
      <c r="K415" s="8" t="str">
        <f t="shared" si="88"/>
        <v/>
      </c>
      <c r="L415" s="8" t="str">
        <f t="shared" si="89"/>
        <v/>
      </c>
      <c r="M415" s="8">
        <v>0.99</v>
      </c>
      <c r="N415" s="8">
        <f>0.685+0.581</f>
        <v>1.266</v>
      </c>
      <c r="O415" s="8">
        <v>2.879</v>
      </c>
      <c r="P415" s="8">
        <f>0.905+2*(1.007)+1.076+0.645</f>
        <v>4.6399999999999997</v>
      </c>
      <c r="Q415" s="8"/>
      <c r="R415" s="8"/>
      <c r="S415" s="8">
        <v>3.069</v>
      </c>
      <c r="T415" s="8">
        <f>0.845+0.923+1.562+1.486</f>
        <v>4.8159999999999998</v>
      </c>
      <c r="U415" s="8">
        <f>N415/M415</f>
        <v>1.2787878787878788</v>
      </c>
      <c r="V415" s="8">
        <f t="shared" si="97"/>
        <v>1.6116707189996526</v>
      </c>
      <c r="W415" s="8"/>
      <c r="X415" s="8">
        <f>T415/S415</f>
        <v>1.5692407950472467</v>
      </c>
      <c r="Y415" s="31">
        <f t="shared" si="91"/>
        <v>-0.17218433124967134</v>
      </c>
      <c r="Z415" s="31">
        <f t="shared" si="92"/>
        <v>-0.17218433124967134</v>
      </c>
      <c r="AA415" s="31" t="str">
        <f t="shared" si="93"/>
        <v/>
      </c>
    </row>
    <row r="416" spans="1:27" x14ac:dyDescent="0.25">
      <c r="A416" s="6" t="str">
        <f t="shared" si="86"/>
        <v>fragment</v>
      </c>
      <c r="B416" s="6" t="s">
        <v>372</v>
      </c>
      <c r="C416" s="6" t="str">
        <f t="shared" si="87"/>
        <v>HC166 428</v>
      </c>
      <c r="D416" s="6" t="s">
        <v>371</v>
      </c>
      <c r="E416" s="20">
        <v>428</v>
      </c>
      <c r="F416" s="6" t="s">
        <v>154</v>
      </c>
      <c r="G416" s="6" t="s">
        <v>393</v>
      </c>
      <c r="H416" s="6" t="s">
        <v>979</v>
      </c>
      <c r="I416" s="6" t="s">
        <v>20</v>
      </c>
      <c r="J416" s="29"/>
      <c r="K416" s="8" t="str">
        <f t="shared" si="88"/>
        <v/>
      </c>
      <c r="L416" s="8" t="str">
        <f t="shared" si="89"/>
        <v/>
      </c>
      <c r="M416" s="8"/>
      <c r="N416" s="8"/>
      <c r="O416" s="8">
        <v>2.851</v>
      </c>
      <c r="P416" s="8">
        <f>0.734+1.179+1.044</f>
        <v>2.9569999999999999</v>
      </c>
      <c r="Q416" s="8">
        <v>2.8929999999999998</v>
      </c>
      <c r="R416" s="8">
        <f>1.828+0.918</f>
        <v>2.746</v>
      </c>
      <c r="S416" s="8"/>
      <c r="T416" s="8"/>
      <c r="U416" s="8"/>
      <c r="V416" s="8">
        <f t="shared" si="97"/>
        <v>1.037179936864258</v>
      </c>
      <c r="W416" s="8">
        <f>R416/Q416</f>
        <v>0.94918769443484274</v>
      </c>
      <c r="X416" s="8"/>
      <c r="Y416" s="31">
        <f t="shared" si="91"/>
        <v>2.9703660721265594E-3</v>
      </c>
      <c r="Z416" s="31">
        <f t="shared" si="92"/>
        <v>2.9703660721265594E-3</v>
      </c>
      <c r="AA416" s="31" t="str">
        <f t="shared" si="93"/>
        <v/>
      </c>
    </row>
    <row r="417" spans="1:27" x14ac:dyDescent="0.25">
      <c r="A417" s="6" t="str">
        <f t="shared" si="86"/>
        <v>fragment</v>
      </c>
      <c r="B417" s="6" t="s">
        <v>372</v>
      </c>
      <c r="C417" s="6" t="str">
        <f t="shared" si="87"/>
        <v>HC166 428</v>
      </c>
      <c r="D417" s="6" t="s">
        <v>371</v>
      </c>
      <c r="E417" s="20">
        <v>428</v>
      </c>
      <c r="F417" s="6" t="s">
        <v>154</v>
      </c>
      <c r="G417" s="6" t="s">
        <v>394</v>
      </c>
      <c r="H417" s="6" t="s">
        <v>979</v>
      </c>
      <c r="I417" s="6" t="s">
        <v>20</v>
      </c>
      <c r="J417" s="29"/>
      <c r="K417" s="8" t="str">
        <f t="shared" si="88"/>
        <v/>
      </c>
      <c r="L417" s="8" t="str">
        <f t="shared" si="89"/>
        <v/>
      </c>
      <c r="M417" s="8"/>
      <c r="N417" s="8"/>
      <c r="O417" s="8">
        <v>1.73</v>
      </c>
      <c r="P417" s="8">
        <f>0.98+1.023</f>
        <v>2.0030000000000001</v>
      </c>
      <c r="Q417" s="8"/>
      <c r="R417" s="8"/>
      <c r="S417" s="8">
        <v>3.2229999999999999</v>
      </c>
      <c r="T417" s="8">
        <f>0.968+1.262+0.992</f>
        <v>3.222</v>
      </c>
      <c r="U417" s="8"/>
      <c r="V417" s="8">
        <f t="shared" si="97"/>
        <v>1.1578034682080927</v>
      </c>
      <c r="W417" s="8"/>
      <c r="X417" s="8">
        <f>T417/S417</f>
        <v>0.99968973006515671</v>
      </c>
      <c r="Y417" s="31">
        <f t="shared" si="91"/>
        <v>-3.2919439565884112E-2</v>
      </c>
      <c r="Z417" s="31">
        <f t="shared" si="92"/>
        <v>-3.2919439565884112E-2</v>
      </c>
      <c r="AA417" s="31" t="str">
        <f t="shared" si="93"/>
        <v/>
      </c>
    </row>
    <row r="418" spans="1:27" x14ac:dyDescent="0.25">
      <c r="A418" s="6" t="str">
        <f t="shared" si="86"/>
        <v>fragment</v>
      </c>
      <c r="B418" s="6" t="s">
        <v>372</v>
      </c>
      <c r="C418" s="6" t="str">
        <f t="shared" si="87"/>
        <v>HC166 428</v>
      </c>
      <c r="D418" s="6" t="s">
        <v>371</v>
      </c>
      <c r="E418" s="20">
        <v>428</v>
      </c>
      <c r="F418" s="6" t="s">
        <v>154</v>
      </c>
      <c r="G418" s="6" t="s">
        <v>395</v>
      </c>
      <c r="H418" s="6" t="s">
        <v>979</v>
      </c>
      <c r="I418" s="6" t="s">
        <v>20</v>
      </c>
      <c r="J418" s="29"/>
      <c r="K418" s="8" t="str">
        <f t="shared" si="88"/>
        <v/>
      </c>
      <c r="L418" s="8" t="str">
        <f t="shared" si="89"/>
        <v/>
      </c>
      <c r="M418" s="8"/>
      <c r="N418" s="8"/>
      <c r="O418" s="8">
        <v>3.7250000000000001</v>
      </c>
      <c r="P418" s="8">
        <f>0.661+1.891+1.191</f>
        <v>3.7430000000000003</v>
      </c>
      <c r="Q418" s="8"/>
      <c r="R418" s="8"/>
      <c r="S418" s="8"/>
      <c r="T418" s="8"/>
      <c r="U418" s="8"/>
      <c r="V418" s="8">
        <f t="shared" si="97"/>
        <v>1.0048322147651008</v>
      </c>
      <c r="W418" s="8"/>
      <c r="X418" s="8"/>
      <c r="Y418" s="31">
        <f t="shared" si="91"/>
        <v>-2.0935500301102676E-3</v>
      </c>
      <c r="Z418" s="31">
        <f t="shared" si="92"/>
        <v>-2.0935500301102676E-3</v>
      </c>
      <c r="AA418" s="31" t="str">
        <f t="shared" si="93"/>
        <v/>
      </c>
    </row>
    <row r="419" spans="1:27" x14ac:dyDescent="0.25">
      <c r="A419" s="6" t="str">
        <f t="shared" si="86"/>
        <v>fragment</v>
      </c>
      <c r="B419" s="6" t="s">
        <v>372</v>
      </c>
      <c r="C419" s="6" t="str">
        <f t="shared" si="87"/>
        <v>HC166 428</v>
      </c>
      <c r="D419" s="6" t="s">
        <v>371</v>
      </c>
      <c r="E419" s="20">
        <v>428</v>
      </c>
      <c r="F419" s="6" t="s">
        <v>154</v>
      </c>
      <c r="G419" s="6" t="s">
        <v>396</v>
      </c>
      <c r="H419" s="6" t="s">
        <v>979</v>
      </c>
      <c r="I419" s="6" t="s">
        <v>20</v>
      </c>
      <c r="J419" s="29"/>
      <c r="K419" s="8" t="str">
        <f t="shared" si="88"/>
        <v/>
      </c>
      <c r="L419" s="8" t="str">
        <f t="shared" si="89"/>
        <v/>
      </c>
      <c r="M419" s="8"/>
      <c r="N419" s="8"/>
      <c r="O419" s="8">
        <v>3.8730000000000002</v>
      </c>
      <c r="P419" s="8">
        <f>1.268+1.508+1.19+1.009</f>
        <v>4.9749999999999996</v>
      </c>
      <c r="Q419" s="8"/>
      <c r="R419" s="8"/>
      <c r="S419" s="8">
        <v>4.4379999999999997</v>
      </c>
      <c r="T419" s="8">
        <f>1.862+3.068+1.786+0.603</f>
        <v>7.3189999999999991</v>
      </c>
      <c r="U419" s="8"/>
      <c r="V419" s="8">
        <f t="shared" si="97"/>
        <v>1.284533953008004</v>
      </c>
      <c r="W419" s="8"/>
      <c r="X419" s="8">
        <f>T419/S419</f>
        <v>1.649166291122127</v>
      </c>
      <c r="Y419" s="31">
        <f t="shared" si="91"/>
        <v>-0.16638574132427217</v>
      </c>
      <c r="Z419" s="31">
        <f t="shared" si="92"/>
        <v>-0.16638574132427217</v>
      </c>
      <c r="AA419" s="31" t="str">
        <f t="shared" si="93"/>
        <v/>
      </c>
    </row>
    <row r="420" spans="1:27" x14ac:dyDescent="0.25">
      <c r="A420" s="6" t="str">
        <f t="shared" si="86"/>
        <v>complete</v>
      </c>
      <c r="B420" s="6" t="s">
        <v>372</v>
      </c>
      <c r="C420" s="6" t="str">
        <f t="shared" si="87"/>
        <v>HC166 428</v>
      </c>
      <c r="D420" s="6" t="s">
        <v>371</v>
      </c>
      <c r="E420" s="20">
        <v>428</v>
      </c>
      <c r="F420" s="6" t="s">
        <v>154</v>
      </c>
      <c r="G420" s="6" t="s">
        <v>397</v>
      </c>
      <c r="H420" s="6" t="s">
        <v>979</v>
      </c>
      <c r="I420" s="6" t="s">
        <v>20</v>
      </c>
      <c r="J420" s="29">
        <f>24.295*2</f>
        <v>48.59</v>
      </c>
      <c r="K420" s="8">
        <f t="shared" si="88"/>
        <v>1.6865468990630064</v>
      </c>
      <c r="L420" s="8">
        <f t="shared" si="89"/>
        <v>8.4885879344059028</v>
      </c>
      <c r="M420" s="8"/>
      <c r="N420" s="8"/>
      <c r="O420" s="8">
        <v>3.9319999999999999</v>
      </c>
      <c r="P420" s="8">
        <f>1.38+1.576+1.344</f>
        <v>4.3</v>
      </c>
      <c r="Q420" s="8">
        <v>2.6179999999999999</v>
      </c>
      <c r="R420" s="8">
        <f>0.389+1.54+1.249+0.774</f>
        <v>3.952</v>
      </c>
      <c r="S420" s="8"/>
      <c r="T420" s="8"/>
      <c r="U420" s="8"/>
      <c r="V420" s="8">
        <f t="shared" si="97"/>
        <v>1.0935910478128179</v>
      </c>
      <c r="W420" s="8">
        <f>R420/Q420</f>
        <v>1.5095492742551566</v>
      </c>
      <c r="X420" s="8"/>
      <c r="Y420" s="31">
        <f t="shared" si="91"/>
        <v>-0.11446758368508111</v>
      </c>
      <c r="Z420" s="31" t="str">
        <f t="shared" si="92"/>
        <v/>
      </c>
      <c r="AA420" s="31">
        <f t="shared" si="93"/>
        <v>-0.11446758368508111</v>
      </c>
    </row>
    <row r="421" spans="1:27" x14ac:dyDescent="0.25">
      <c r="A421" s="6" t="str">
        <f t="shared" si="86"/>
        <v>fragment</v>
      </c>
      <c r="B421" s="6" t="s">
        <v>372</v>
      </c>
      <c r="C421" s="6" t="str">
        <f t="shared" si="87"/>
        <v>HC166 428</v>
      </c>
      <c r="D421" s="6" t="s">
        <v>371</v>
      </c>
      <c r="E421" s="20">
        <v>428</v>
      </c>
      <c r="F421" s="6" t="s">
        <v>154</v>
      </c>
      <c r="G421" s="6" t="s">
        <v>398</v>
      </c>
      <c r="H421" s="6" t="s">
        <v>979</v>
      </c>
      <c r="I421" s="6" t="s">
        <v>20</v>
      </c>
      <c r="J421" s="29"/>
      <c r="K421" s="8" t="str">
        <f t="shared" si="88"/>
        <v/>
      </c>
      <c r="L421" s="8" t="str">
        <f t="shared" si="89"/>
        <v/>
      </c>
      <c r="M421" s="8"/>
      <c r="N421" s="8"/>
      <c r="O421" s="8">
        <v>2.2200000000000002</v>
      </c>
      <c r="P421" s="8">
        <f>0.778+1.606+1.044</f>
        <v>3.4280000000000004</v>
      </c>
      <c r="Q421" s="8"/>
      <c r="R421" s="8"/>
      <c r="S421" s="8">
        <v>1.698</v>
      </c>
      <c r="T421" s="8">
        <f>0.434+1.299+0.76</f>
        <v>2.4929999999999999</v>
      </c>
      <c r="U421" s="8"/>
      <c r="V421" s="8">
        <f t="shared" si="97"/>
        <v>1.5441441441441441</v>
      </c>
      <c r="W421" s="8"/>
      <c r="X421" s="8">
        <f>T421/S421</f>
        <v>1.4681978798586572</v>
      </c>
      <c r="Y421" s="31">
        <f t="shared" si="91"/>
        <v>-0.17787428484746487</v>
      </c>
      <c r="Z421" s="31">
        <f t="shared" si="92"/>
        <v>-0.17787428484746487</v>
      </c>
      <c r="AA421" s="31" t="str">
        <f t="shared" si="93"/>
        <v/>
      </c>
    </row>
    <row r="422" spans="1:27" x14ac:dyDescent="0.25">
      <c r="A422" s="6" t="str">
        <f t="shared" si="86"/>
        <v>fragment</v>
      </c>
      <c r="B422" s="6" t="s">
        <v>372</v>
      </c>
      <c r="C422" s="6" t="str">
        <f t="shared" si="87"/>
        <v>HC166 428</v>
      </c>
      <c r="D422" s="6" t="s">
        <v>371</v>
      </c>
      <c r="E422" s="20">
        <v>428</v>
      </c>
      <c r="F422" s="6" t="s">
        <v>154</v>
      </c>
      <c r="G422" s="6" t="s">
        <v>399</v>
      </c>
      <c r="H422" s="6" t="s">
        <v>979</v>
      </c>
      <c r="I422" s="6" t="s">
        <v>20</v>
      </c>
      <c r="J422" s="29"/>
      <c r="K422" s="8" t="str">
        <f t="shared" si="88"/>
        <v/>
      </c>
      <c r="L422" s="8" t="str">
        <f t="shared" si="89"/>
        <v/>
      </c>
      <c r="M422" s="8"/>
      <c r="N422" s="8"/>
      <c r="O422" s="8">
        <v>1.752</v>
      </c>
      <c r="P422" s="8">
        <f>0.949+1.317</f>
        <v>2.266</v>
      </c>
      <c r="Q422" s="8"/>
      <c r="R422" s="8"/>
      <c r="S422" s="8">
        <v>1.419</v>
      </c>
      <c r="T422" s="8">
        <f>0.303+0.802+0.978+0.401</f>
        <v>2.484</v>
      </c>
      <c r="U422" s="8"/>
      <c r="V422" s="8">
        <f t="shared" si="97"/>
        <v>1.29337899543379</v>
      </c>
      <c r="W422" s="8"/>
      <c r="X422" s="8">
        <f>T422/S422</f>
        <v>1.7505285412262155</v>
      </c>
      <c r="Y422" s="31">
        <f t="shared" si="91"/>
        <v>-0.18240146027678902</v>
      </c>
      <c r="Z422" s="31">
        <f t="shared" si="92"/>
        <v>-0.18240146027678902</v>
      </c>
      <c r="AA422" s="31" t="str">
        <f t="shared" si="93"/>
        <v/>
      </c>
    </row>
    <row r="423" spans="1:27" x14ac:dyDescent="0.25">
      <c r="A423" s="6" t="str">
        <f t="shared" si="86"/>
        <v>fragment</v>
      </c>
      <c r="B423" s="6" t="s">
        <v>372</v>
      </c>
      <c r="C423" s="6" t="str">
        <f t="shared" si="87"/>
        <v>HC166 428</v>
      </c>
      <c r="D423" s="6" t="s">
        <v>371</v>
      </c>
      <c r="E423" s="20">
        <v>428</v>
      </c>
      <c r="F423" s="6" t="s">
        <v>154</v>
      </c>
      <c r="G423" s="6" t="s">
        <v>400</v>
      </c>
      <c r="H423" s="6" t="s">
        <v>979</v>
      </c>
      <c r="I423" s="6" t="s">
        <v>20</v>
      </c>
      <c r="J423" s="29"/>
      <c r="K423" s="8" t="str">
        <f t="shared" si="88"/>
        <v/>
      </c>
      <c r="L423" s="8" t="str">
        <f t="shared" si="89"/>
        <v/>
      </c>
      <c r="M423" s="8"/>
      <c r="N423" s="8"/>
      <c r="O423" s="8">
        <v>4.5270000000000001</v>
      </c>
      <c r="P423" s="8">
        <f>1.749+1.699+1.23</f>
        <v>4.6780000000000008</v>
      </c>
      <c r="Q423" s="8"/>
      <c r="R423" s="8"/>
      <c r="S423" s="8"/>
      <c r="T423" s="8"/>
      <c r="U423" s="8"/>
      <c r="V423" s="8">
        <f t="shared" si="97"/>
        <v>1.0333554230174511</v>
      </c>
      <c r="W423" s="8"/>
      <c r="X423" s="8"/>
      <c r="Y423" s="31">
        <f t="shared" si="91"/>
        <v>-1.4249722977882056E-2</v>
      </c>
      <c r="Z423" s="31">
        <f t="shared" si="92"/>
        <v>-1.4249722977882056E-2</v>
      </c>
      <c r="AA423" s="31" t="str">
        <f t="shared" si="93"/>
        <v/>
      </c>
    </row>
    <row r="424" spans="1:27" x14ac:dyDescent="0.25">
      <c r="A424" s="6" t="str">
        <f t="shared" si="86"/>
        <v>complete</v>
      </c>
      <c r="B424" s="6" t="s">
        <v>372</v>
      </c>
      <c r="C424" s="6" t="str">
        <f t="shared" si="87"/>
        <v>HC166 428</v>
      </c>
      <c r="D424" s="6" t="s">
        <v>371</v>
      </c>
      <c r="E424" s="20">
        <v>428</v>
      </c>
      <c r="F424" s="6" t="s">
        <v>154</v>
      </c>
      <c r="G424" s="6" t="s">
        <v>401</v>
      </c>
      <c r="H424" s="6" t="s">
        <v>979</v>
      </c>
      <c r="I424" s="6" t="s">
        <v>20</v>
      </c>
      <c r="J424" s="29">
        <f>23.876*2</f>
        <v>47.752000000000002</v>
      </c>
      <c r="K424" s="8">
        <f t="shared" si="88"/>
        <v>1.6789915658836179</v>
      </c>
      <c r="L424" s="8">
        <f t="shared" si="89"/>
        <v>8.4711911368544399</v>
      </c>
      <c r="M424" s="8"/>
      <c r="N424" s="8"/>
      <c r="O424" s="8">
        <v>7.3129999999999997</v>
      </c>
      <c r="P424" s="8">
        <f>1.998+0.414+2.744+0.547+1.905</f>
        <v>7.6080000000000005</v>
      </c>
      <c r="Q424" s="8"/>
      <c r="R424" s="8"/>
      <c r="S424" s="8"/>
      <c r="T424" s="8"/>
      <c r="U424" s="8"/>
      <c r="V424" s="8">
        <f t="shared" si="97"/>
        <v>1.0403391221113087</v>
      </c>
      <c r="W424" s="8"/>
      <c r="X424" s="8"/>
      <c r="Y424" s="31">
        <f t="shared" si="91"/>
        <v>-1.7174930505110066E-2</v>
      </c>
      <c r="Z424" s="31" t="str">
        <f t="shared" si="92"/>
        <v/>
      </c>
      <c r="AA424" s="31">
        <f t="shared" si="93"/>
        <v>-1.7174930505110066E-2</v>
      </c>
    </row>
    <row r="425" spans="1:27" x14ac:dyDescent="0.25">
      <c r="A425" s="6" t="str">
        <f t="shared" si="86"/>
        <v>fragment</v>
      </c>
      <c r="B425" s="6" t="s">
        <v>372</v>
      </c>
      <c r="C425" s="6" t="str">
        <f t="shared" si="87"/>
        <v>HC166 428</v>
      </c>
      <c r="D425" s="6" t="s">
        <v>371</v>
      </c>
      <c r="E425" s="20">
        <v>428</v>
      </c>
      <c r="F425" s="6" t="s">
        <v>154</v>
      </c>
      <c r="G425" s="6" t="s">
        <v>402</v>
      </c>
      <c r="H425" s="6" t="s">
        <v>979</v>
      </c>
      <c r="I425" s="6" t="s">
        <v>20</v>
      </c>
      <c r="J425" s="29"/>
      <c r="K425" s="8" t="str">
        <f t="shared" si="88"/>
        <v/>
      </c>
      <c r="L425" s="8" t="str">
        <f t="shared" si="89"/>
        <v/>
      </c>
      <c r="M425" s="8"/>
      <c r="N425" s="8"/>
      <c r="O425" s="8">
        <v>3.5640000000000001</v>
      </c>
      <c r="P425" s="8">
        <f>1.457+1.275</f>
        <v>2.7320000000000002</v>
      </c>
      <c r="Q425" s="8">
        <v>1.4790000000000001</v>
      </c>
      <c r="R425" s="8">
        <f>0.713+0.789+0.703</f>
        <v>2.2050000000000001</v>
      </c>
      <c r="S425" s="8">
        <v>3.4620000000000002</v>
      </c>
      <c r="T425" s="8">
        <f>0.944+1.547+0.824</f>
        <v>3.3149999999999995</v>
      </c>
      <c r="U425" s="8"/>
      <c r="V425" s="8">
        <f t="shared" si="97"/>
        <v>0.76655443322109995</v>
      </c>
      <c r="W425" s="8">
        <f>R425/Q425</f>
        <v>1.4908722109533468</v>
      </c>
      <c r="X425" s="8">
        <f>T425/S425</f>
        <v>0.95753899480069304</v>
      </c>
      <c r="Y425" s="31">
        <f t="shared" si="91"/>
        <v>-3.0055080897270384E-2</v>
      </c>
      <c r="Z425" s="31">
        <f t="shared" si="92"/>
        <v>-3.0055080897270384E-2</v>
      </c>
      <c r="AA425" s="31" t="str">
        <f t="shared" si="93"/>
        <v/>
      </c>
    </row>
    <row r="426" spans="1:27" x14ac:dyDescent="0.25">
      <c r="A426" s="6" t="str">
        <f t="shared" si="86"/>
        <v>complete</v>
      </c>
      <c r="B426" s="6" t="s">
        <v>372</v>
      </c>
      <c r="C426" s="6" t="str">
        <f t="shared" si="87"/>
        <v>HC166 428</v>
      </c>
      <c r="D426" s="6" t="s">
        <v>371</v>
      </c>
      <c r="E426" s="20">
        <v>428</v>
      </c>
      <c r="F426" s="6" t="s">
        <v>154</v>
      </c>
      <c r="G426" s="6" t="s">
        <v>403</v>
      </c>
      <c r="H426" s="6" t="s">
        <v>979</v>
      </c>
      <c r="I426" s="6" t="s">
        <v>20</v>
      </c>
      <c r="J426" s="29">
        <f>19.518*2</f>
        <v>39.036000000000001</v>
      </c>
      <c r="K426" s="8">
        <f t="shared" si="88"/>
        <v>1.5914653093294784</v>
      </c>
      <c r="L426" s="8">
        <f t="shared" si="89"/>
        <v>8.2696544832673062</v>
      </c>
      <c r="M426" s="8"/>
      <c r="N426" s="8"/>
      <c r="O426" s="8">
        <v>2.3250000000000002</v>
      </c>
      <c r="P426" s="8">
        <f>0.636+1.235+1.051</f>
        <v>2.9219999999999997</v>
      </c>
      <c r="Q426" s="8">
        <v>3.1680000000000001</v>
      </c>
      <c r="R426" s="8">
        <f>1.215+1.349+1.616+0.659</f>
        <v>4.8389999999999995</v>
      </c>
      <c r="S426" s="8">
        <v>1.381</v>
      </c>
      <c r="T426" s="8">
        <f>0.572+1.084+0.857+0.104</f>
        <v>2.617</v>
      </c>
      <c r="U426" s="8"/>
      <c r="V426" s="8">
        <f t="shared" si="97"/>
        <v>1.2567741935483869</v>
      </c>
      <c r="W426" s="8">
        <f>R426/Q426</f>
        <v>1.5274621212121209</v>
      </c>
      <c r="X426" s="8">
        <f>T426/S426</f>
        <v>1.8950036205648082</v>
      </c>
      <c r="Y426" s="31">
        <f t="shared" si="91"/>
        <v>-0.1930540601703544</v>
      </c>
      <c r="Z426" s="31" t="str">
        <f t="shared" si="92"/>
        <v/>
      </c>
      <c r="AA426" s="31">
        <f t="shared" si="93"/>
        <v>-0.1930540601703544</v>
      </c>
    </row>
    <row r="427" spans="1:27" x14ac:dyDescent="0.25">
      <c r="A427" s="6" t="str">
        <f t="shared" si="86"/>
        <v>fragment</v>
      </c>
      <c r="B427" s="6" t="s">
        <v>372</v>
      </c>
      <c r="C427" s="6" t="str">
        <f t="shared" si="87"/>
        <v>HC166 428</v>
      </c>
      <c r="D427" s="6" t="s">
        <v>371</v>
      </c>
      <c r="E427" s="20">
        <v>428</v>
      </c>
      <c r="F427" s="6" t="s">
        <v>154</v>
      </c>
      <c r="G427" s="6" t="s">
        <v>404</v>
      </c>
      <c r="H427" s="6" t="s">
        <v>979</v>
      </c>
      <c r="I427" s="6" t="s">
        <v>20</v>
      </c>
      <c r="J427" s="29"/>
      <c r="K427" s="8" t="str">
        <f t="shared" si="88"/>
        <v/>
      </c>
      <c r="L427" s="8" t="str">
        <f t="shared" si="89"/>
        <v/>
      </c>
      <c r="M427" s="8"/>
      <c r="N427" s="8"/>
      <c r="O427" s="8">
        <v>1.212</v>
      </c>
      <c r="P427" s="8">
        <f>0.306+0.792+0.476</f>
        <v>1.5740000000000001</v>
      </c>
      <c r="Q427" s="8"/>
      <c r="R427" s="8"/>
      <c r="S427" s="8"/>
      <c r="T427" s="8"/>
      <c r="U427" s="8"/>
      <c r="V427" s="8">
        <f t="shared" si="97"/>
        <v>1.2986798679867988</v>
      </c>
      <c r="W427" s="8"/>
      <c r="X427" s="8"/>
      <c r="Y427" s="31">
        <f t="shared" si="91"/>
        <v>-0.11350210819277841</v>
      </c>
      <c r="Z427" s="31">
        <f t="shared" si="92"/>
        <v>-0.11350210819277841</v>
      </c>
      <c r="AA427" s="31" t="str">
        <f t="shared" si="93"/>
        <v/>
      </c>
    </row>
    <row r="428" spans="1:27" x14ac:dyDescent="0.25">
      <c r="A428" s="6" t="str">
        <f t="shared" si="86"/>
        <v>fragment</v>
      </c>
      <c r="B428" s="6" t="s">
        <v>372</v>
      </c>
      <c r="C428" s="6" t="str">
        <f t="shared" si="87"/>
        <v>HC166 428</v>
      </c>
      <c r="D428" s="6" t="s">
        <v>371</v>
      </c>
      <c r="E428" s="20">
        <v>428</v>
      </c>
      <c r="F428" s="6" t="s">
        <v>154</v>
      </c>
      <c r="G428" s="6" t="s">
        <v>405</v>
      </c>
      <c r="H428" s="6" t="s">
        <v>979</v>
      </c>
      <c r="I428" s="6" t="s">
        <v>20</v>
      </c>
      <c r="J428" s="29"/>
      <c r="K428" s="8" t="str">
        <f t="shared" si="88"/>
        <v/>
      </c>
      <c r="L428" s="8" t="str">
        <f t="shared" si="89"/>
        <v/>
      </c>
      <c r="M428" s="8"/>
      <c r="N428" s="8"/>
      <c r="O428" s="8">
        <v>0.88100000000000001</v>
      </c>
      <c r="P428" s="8">
        <f>1.098+0.672</f>
        <v>1.77</v>
      </c>
      <c r="Q428" s="8">
        <v>1.4610000000000001</v>
      </c>
      <c r="R428" s="8">
        <f>0.655+0.81+0.628</f>
        <v>2.093</v>
      </c>
      <c r="S428" s="8">
        <v>2.1669999999999998</v>
      </c>
      <c r="T428" s="8">
        <f>0.521+1.033+1.341+0.913</f>
        <v>3.8079999999999998</v>
      </c>
      <c r="U428" s="8"/>
      <c r="V428" s="8">
        <f t="shared" si="97"/>
        <v>2.0090805902383657</v>
      </c>
      <c r="W428" s="8">
        <f t="shared" ref="W428:W434" si="98">R428/Q428</f>
        <v>1.4325804243668718</v>
      </c>
      <c r="X428" s="8">
        <f>T428/S428</f>
        <v>1.7572681125980618</v>
      </c>
      <c r="Y428" s="31">
        <f t="shared" si="91"/>
        <v>-0.23879264236878908</v>
      </c>
      <c r="Z428" s="31">
        <f t="shared" si="92"/>
        <v>-0.23879264236878908</v>
      </c>
      <c r="AA428" s="31" t="str">
        <f t="shared" si="93"/>
        <v/>
      </c>
    </row>
    <row r="429" spans="1:27" x14ac:dyDescent="0.25">
      <c r="A429" s="6" t="str">
        <f t="shared" si="86"/>
        <v>complete</v>
      </c>
      <c r="B429" s="6" t="s">
        <v>372</v>
      </c>
      <c r="C429" s="6" t="str">
        <f t="shared" si="87"/>
        <v>HC166 428</v>
      </c>
      <c r="D429" s="6" t="s">
        <v>371</v>
      </c>
      <c r="E429" s="20">
        <v>428</v>
      </c>
      <c r="F429" s="6" t="s">
        <v>154</v>
      </c>
      <c r="G429" s="6" t="s">
        <v>406</v>
      </c>
      <c r="H429" s="6" t="s">
        <v>979</v>
      </c>
      <c r="I429" s="6" t="s">
        <v>20</v>
      </c>
      <c r="J429" s="29">
        <f>32.556*2</f>
        <v>65.111999999999995</v>
      </c>
      <c r="K429" s="8">
        <f t="shared" si="88"/>
        <v>1.8136610354732021</v>
      </c>
      <c r="L429" s="8">
        <f t="shared" si="89"/>
        <v>8.7812790500128308</v>
      </c>
      <c r="M429" s="8"/>
      <c r="N429" s="8"/>
      <c r="O429" s="8">
        <v>6.5549999999999997</v>
      </c>
      <c r="P429" s="8">
        <f>1.375+2.138+1.002</f>
        <v>4.5149999999999997</v>
      </c>
      <c r="Q429" s="8">
        <v>3.907</v>
      </c>
      <c r="R429" s="8">
        <f>1.076+1.426+1.19</f>
        <v>3.6919999999999997</v>
      </c>
      <c r="S429" s="8"/>
      <c r="T429" s="8"/>
      <c r="U429" s="8"/>
      <c r="V429" s="8">
        <f t="shared" si="97"/>
        <v>0.68878718535469108</v>
      </c>
      <c r="W429" s="8">
        <f t="shared" si="98"/>
        <v>0.94497056565139481</v>
      </c>
      <c r="X429" s="8"/>
      <c r="Y429" s="31">
        <f t="shared" si="91"/>
        <v>8.7842334655373069E-2</v>
      </c>
      <c r="Z429" s="31" t="str">
        <f t="shared" si="92"/>
        <v/>
      </c>
      <c r="AA429" s="31">
        <f t="shared" si="93"/>
        <v>8.7842334655373069E-2</v>
      </c>
    </row>
    <row r="430" spans="1:27" x14ac:dyDescent="0.25">
      <c r="A430" s="6" t="str">
        <f t="shared" si="86"/>
        <v>complete</v>
      </c>
      <c r="B430" s="6" t="s">
        <v>372</v>
      </c>
      <c r="C430" s="6" t="str">
        <f t="shared" si="87"/>
        <v>HC166 428</v>
      </c>
      <c r="D430" s="6" t="s">
        <v>371</v>
      </c>
      <c r="E430" s="20">
        <v>428</v>
      </c>
      <c r="F430" s="6" t="s">
        <v>154</v>
      </c>
      <c r="G430" s="6" t="s">
        <v>407</v>
      </c>
      <c r="H430" s="6" t="s">
        <v>979</v>
      </c>
      <c r="I430" s="6" t="s">
        <v>20</v>
      </c>
      <c r="J430" s="29">
        <f>23.715*2</f>
        <v>47.43</v>
      </c>
      <c r="K430" s="8">
        <f t="shared" si="88"/>
        <v>1.6760531246518715</v>
      </c>
      <c r="L430" s="8">
        <f t="shared" si="89"/>
        <v>8.4644251258775824</v>
      </c>
      <c r="M430" s="8"/>
      <c r="N430" s="8"/>
      <c r="O430" s="8">
        <v>3.8980000000000001</v>
      </c>
      <c r="P430" s="8">
        <f>1.39+1.982+1.075</f>
        <v>4.4470000000000001</v>
      </c>
      <c r="Q430" s="8">
        <v>2.5369999999999999</v>
      </c>
      <c r="R430" s="8">
        <f>1.072+1.363+0.839</f>
        <v>3.274</v>
      </c>
      <c r="S430" s="8"/>
      <c r="T430" s="8"/>
      <c r="U430" s="8"/>
      <c r="V430" s="8">
        <f t="shared" si="97"/>
        <v>1.1408414571575167</v>
      </c>
      <c r="W430" s="8">
        <f t="shared" si="98"/>
        <v>1.2905005912495073</v>
      </c>
      <c r="X430" s="8"/>
      <c r="Y430" s="31">
        <f t="shared" si="91"/>
        <v>-8.4816065312639508E-2</v>
      </c>
      <c r="Z430" s="31" t="str">
        <f t="shared" si="92"/>
        <v/>
      </c>
      <c r="AA430" s="31">
        <f t="shared" si="93"/>
        <v>-8.4816065312639508E-2</v>
      </c>
    </row>
    <row r="431" spans="1:27" x14ac:dyDescent="0.25">
      <c r="A431" s="6" t="str">
        <f t="shared" si="86"/>
        <v>fragment</v>
      </c>
      <c r="B431" s="6" t="s">
        <v>372</v>
      </c>
      <c r="C431" s="6" t="str">
        <f t="shared" si="87"/>
        <v>HC166 428</v>
      </c>
      <c r="D431" s="6" t="s">
        <v>371</v>
      </c>
      <c r="E431" s="20">
        <v>428</v>
      </c>
      <c r="F431" s="6" t="s">
        <v>154</v>
      </c>
      <c r="G431" s="6" t="s">
        <v>408</v>
      </c>
      <c r="H431" s="6" t="s">
        <v>979</v>
      </c>
      <c r="I431" s="6" t="s">
        <v>20</v>
      </c>
      <c r="J431" s="29"/>
      <c r="K431" s="8" t="str">
        <f t="shared" si="88"/>
        <v/>
      </c>
      <c r="L431" s="8" t="str">
        <f t="shared" si="89"/>
        <v/>
      </c>
      <c r="M431" s="8"/>
      <c r="N431" s="8"/>
      <c r="O431" s="8">
        <v>4.657</v>
      </c>
      <c r="P431" s="8">
        <f>1.253+2.052+0.937</f>
        <v>4.242</v>
      </c>
      <c r="Q431" s="8">
        <v>2.452</v>
      </c>
      <c r="R431" s="8">
        <f>1.172+0.952+0.902</f>
        <v>3.0259999999999998</v>
      </c>
      <c r="S431" s="8">
        <v>1.891</v>
      </c>
      <c r="T431" s="8">
        <f>0.947+0.93+0.768</f>
        <v>2.645</v>
      </c>
      <c r="U431" s="8"/>
      <c r="V431" s="8">
        <f t="shared" si="97"/>
        <v>0.91088683701954043</v>
      </c>
      <c r="W431" s="8">
        <f t="shared" si="98"/>
        <v>1.2340946166394779</v>
      </c>
      <c r="X431" s="8">
        <f>T431/S431</f>
        <v>1.3987308302485457</v>
      </c>
      <c r="Y431" s="31">
        <f t="shared" si="91"/>
        <v>-7.2337199301308136E-2</v>
      </c>
      <c r="Z431" s="31">
        <f t="shared" si="92"/>
        <v>-7.2337199301308136E-2</v>
      </c>
      <c r="AA431" s="31" t="str">
        <f t="shared" si="93"/>
        <v/>
      </c>
    </row>
    <row r="432" spans="1:27" x14ac:dyDescent="0.25">
      <c r="A432" s="6" t="str">
        <f t="shared" si="86"/>
        <v>fragment</v>
      </c>
      <c r="B432" s="6" t="s">
        <v>372</v>
      </c>
      <c r="C432" s="6" t="str">
        <f t="shared" si="87"/>
        <v>HC166 428</v>
      </c>
      <c r="D432" s="6" t="s">
        <v>371</v>
      </c>
      <c r="E432" s="20">
        <v>428</v>
      </c>
      <c r="F432" s="6" t="s">
        <v>154</v>
      </c>
      <c r="G432" s="6" t="s">
        <v>409</v>
      </c>
      <c r="H432" s="6" t="s">
        <v>979</v>
      </c>
      <c r="I432" s="6" t="s">
        <v>20</v>
      </c>
      <c r="J432" s="29"/>
      <c r="K432" s="8" t="str">
        <f t="shared" si="88"/>
        <v/>
      </c>
      <c r="L432" s="8" t="str">
        <f t="shared" si="89"/>
        <v/>
      </c>
      <c r="M432" s="8"/>
      <c r="N432" s="8"/>
      <c r="O432" s="8">
        <v>3.6269999999999998</v>
      </c>
      <c r="P432" s="8">
        <f>0.964+2.133+1.149</f>
        <v>4.2460000000000004</v>
      </c>
      <c r="Q432" s="8">
        <v>3.6819999999999999</v>
      </c>
      <c r="R432" s="8">
        <f>1.234+1.107+1.068</f>
        <v>3.4090000000000003</v>
      </c>
      <c r="S432" s="8">
        <v>5.5339999999999998</v>
      </c>
      <c r="T432" s="8">
        <f>1.377+1.6+1.508+1.125</f>
        <v>5.61</v>
      </c>
      <c r="U432" s="8"/>
      <c r="V432" s="8">
        <f t="shared" si="97"/>
        <v>1.1706644609870418</v>
      </c>
      <c r="W432" s="8">
        <f t="shared" si="98"/>
        <v>0.92585551330798488</v>
      </c>
      <c r="X432" s="8">
        <f>T432/S432</f>
        <v>1.0137332851463681</v>
      </c>
      <c r="Y432" s="31">
        <f t="shared" si="91"/>
        <v>-1.5674499162386259E-2</v>
      </c>
      <c r="Z432" s="31">
        <f t="shared" si="92"/>
        <v>-1.5674499162386259E-2</v>
      </c>
      <c r="AA432" s="31" t="str">
        <f t="shared" si="93"/>
        <v/>
      </c>
    </row>
    <row r="433" spans="1:27" x14ac:dyDescent="0.25">
      <c r="A433" s="6" t="str">
        <f t="shared" si="86"/>
        <v>complete</v>
      </c>
      <c r="B433" s="6" t="s">
        <v>372</v>
      </c>
      <c r="C433" s="6" t="str">
        <f t="shared" si="87"/>
        <v>HC166 428</v>
      </c>
      <c r="D433" s="6" t="s">
        <v>371</v>
      </c>
      <c r="E433" s="20">
        <v>428</v>
      </c>
      <c r="F433" s="6" t="s">
        <v>154</v>
      </c>
      <c r="G433" s="6" t="s">
        <v>410</v>
      </c>
      <c r="H433" s="6" t="s">
        <v>979</v>
      </c>
      <c r="I433" s="6" t="s">
        <v>20</v>
      </c>
      <c r="J433" s="29">
        <f>18.12*2</f>
        <v>36.24</v>
      </c>
      <c r="K433" s="8">
        <f t="shared" si="88"/>
        <v>1.5591881890047754</v>
      </c>
      <c r="L433" s="8">
        <f t="shared" si="89"/>
        <v>8.1953336671628705</v>
      </c>
      <c r="M433" s="8"/>
      <c r="N433" s="8"/>
      <c r="O433" s="8">
        <v>1.746</v>
      </c>
      <c r="P433" s="8">
        <f>0.75+0.785+0.986</f>
        <v>2.5209999999999999</v>
      </c>
      <c r="Q433" s="8">
        <v>0.93800000000000006</v>
      </c>
      <c r="R433" s="8">
        <f>0.578+0.833</f>
        <v>1.411</v>
      </c>
      <c r="S433" s="8"/>
      <c r="T433" s="8"/>
      <c r="U433" s="8"/>
      <c r="V433" s="8">
        <f t="shared" si="97"/>
        <v>1.4438717067583047</v>
      </c>
      <c r="W433" s="8">
        <f t="shared" si="98"/>
        <v>1.5042643923240937</v>
      </c>
      <c r="X433" s="8"/>
      <c r="Y433" s="31">
        <f t="shared" si="91"/>
        <v>-0.1685175329518433</v>
      </c>
      <c r="Z433" s="31" t="str">
        <f t="shared" si="92"/>
        <v/>
      </c>
      <c r="AA433" s="31">
        <f t="shared" si="93"/>
        <v>-0.1685175329518433</v>
      </c>
    </row>
    <row r="434" spans="1:27" x14ac:dyDescent="0.25">
      <c r="A434" s="6" t="str">
        <f t="shared" si="86"/>
        <v>complete</v>
      </c>
      <c r="B434" s="6" t="s">
        <v>372</v>
      </c>
      <c r="C434" s="6" t="str">
        <f t="shared" si="87"/>
        <v>HC166 428</v>
      </c>
      <c r="D434" s="6" t="s">
        <v>371</v>
      </c>
      <c r="E434" s="20">
        <v>428</v>
      </c>
      <c r="F434" s="6" t="s">
        <v>154</v>
      </c>
      <c r="G434" s="6" t="s">
        <v>411</v>
      </c>
      <c r="H434" s="6" t="s">
        <v>979</v>
      </c>
      <c r="I434" s="6" t="s">
        <v>20</v>
      </c>
      <c r="J434" s="29">
        <f>21.661*2</f>
        <v>43.322000000000003</v>
      </c>
      <c r="K434" s="8">
        <f t="shared" si="88"/>
        <v>1.6367084980205471</v>
      </c>
      <c r="L434" s="8">
        <f t="shared" si="89"/>
        <v>8.3738307751068781</v>
      </c>
      <c r="M434" s="8"/>
      <c r="N434" s="8"/>
      <c r="O434" s="8">
        <v>3.8740000000000001</v>
      </c>
      <c r="P434" s="8">
        <f>1.278+2.569+1.145</f>
        <v>4.992</v>
      </c>
      <c r="Q434" s="8">
        <v>2.3849999999999998</v>
      </c>
      <c r="R434" s="8">
        <f>0.695+1.305+1.015</f>
        <v>3.0149999999999997</v>
      </c>
      <c r="S434" s="8"/>
      <c r="T434" s="8"/>
      <c r="U434" s="8"/>
      <c r="V434" s="8">
        <f t="shared" si="97"/>
        <v>1.2885906040268456</v>
      </c>
      <c r="W434" s="8">
        <f t="shared" si="98"/>
        <v>1.2641509433962264</v>
      </c>
      <c r="X434" s="8"/>
      <c r="Y434" s="31">
        <f t="shared" si="91"/>
        <v>-0.1059768511771253</v>
      </c>
      <c r="Z434" s="31" t="str">
        <f t="shared" si="92"/>
        <v/>
      </c>
      <c r="AA434" s="31">
        <f t="shared" si="93"/>
        <v>-0.1059768511771253</v>
      </c>
    </row>
    <row r="435" spans="1:27" x14ac:dyDescent="0.25">
      <c r="A435" s="6" t="str">
        <f t="shared" si="86"/>
        <v>complete</v>
      </c>
      <c r="B435" s="6" t="s">
        <v>372</v>
      </c>
      <c r="C435" s="6" t="str">
        <f t="shared" si="87"/>
        <v>HC166 428</v>
      </c>
      <c r="D435" s="6" t="s">
        <v>371</v>
      </c>
      <c r="E435" s="20">
        <v>428</v>
      </c>
      <c r="F435" s="6" t="s">
        <v>154</v>
      </c>
      <c r="G435" s="6" t="s">
        <v>412</v>
      </c>
      <c r="H435" s="6" t="s">
        <v>979</v>
      </c>
      <c r="I435" s="6" t="s">
        <v>20</v>
      </c>
      <c r="J435" s="29">
        <f>23.689*2</f>
        <v>47.378</v>
      </c>
      <c r="K435" s="8">
        <f t="shared" si="88"/>
        <v>1.6755767236029404</v>
      </c>
      <c r="L435" s="8">
        <f t="shared" si="89"/>
        <v>8.4633281719240259</v>
      </c>
      <c r="M435" s="8"/>
      <c r="N435" s="8"/>
      <c r="O435" s="8">
        <v>6.165</v>
      </c>
      <c r="P435" s="8">
        <f>1.168+2.504+3.318+1.241</f>
        <v>8.2309999999999999</v>
      </c>
      <c r="Q435" s="8"/>
      <c r="R435" s="8"/>
      <c r="S435" s="8"/>
      <c r="T435" s="8"/>
      <c r="U435" s="8"/>
      <c r="V435" s="8">
        <f t="shared" si="97"/>
        <v>1.3351175993511759</v>
      </c>
      <c r="W435" s="8"/>
      <c r="X435" s="8"/>
      <c r="Y435" s="31">
        <f t="shared" si="91"/>
        <v>-0.12551952075672831</v>
      </c>
      <c r="Z435" s="31" t="str">
        <f t="shared" si="92"/>
        <v/>
      </c>
      <c r="AA435" s="31">
        <f t="shared" si="93"/>
        <v>-0.12551952075672831</v>
      </c>
    </row>
    <row r="436" spans="1:27" x14ac:dyDescent="0.25">
      <c r="A436" s="6" t="str">
        <f t="shared" si="86"/>
        <v>fragment</v>
      </c>
      <c r="B436" s="6" t="s">
        <v>372</v>
      </c>
      <c r="C436" s="6" t="str">
        <f t="shared" si="87"/>
        <v>HC166 428</v>
      </c>
      <c r="D436" s="6" t="s">
        <v>371</v>
      </c>
      <c r="E436" s="20">
        <v>428</v>
      </c>
      <c r="F436" s="6" t="s">
        <v>154</v>
      </c>
      <c r="G436" s="6" t="s">
        <v>413</v>
      </c>
      <c r="H436" s="6" t="s">
        <v>979</v>
      </c>
      <c r="I436" s="6" t="s">
        <v>20</v>
      </c>
      <c r="J436" s="29"/>
      <c r="K436" s="8" t="str">
        <f t="shared" si="88"/>
        <v/>
      </c>
      <c r="L436" s="8" t="str">
        <f t="shared" si="89"/>
        <v/>
      </c>
      <c r="M436" s="8"/>
      <c r="N436" s="8"/>
      <c r="O436" s="8">
        <v>1.4350000000000001</v>
      </c>
      <c r="P436" s="8">
        <f>0.815+0.852+0.875</f>
        <v>2.5419999999999998</v>
      </c>
      <c r="Q436" s="8">
        <v>1.2650000000000001</v>
      </c>
      <c r="R436" s="8">
        <f>0.595+0.595+0.727</f>
        <v>1.9169999999999998</v>
      </c>
      <c r="S436" s="8">
        <v>1.518</v>
      </c>
      <c r="T436" s="8">
        <f>0.656+0.892+0.882+0.49</f>
        <v>2.92</v>
      </c>
      <c r="U436" s="8"/>
      <c r="V436" s="8">
        <f t="shared" si="97"/>
        <v>1.7714285714285711</v>
      </c>
      <c r="W436" s="8">
        <f>R436/Q436</f>
        <v>1.5154150197628455</v>
      </c>
      <c r="X436" s="8">
        <f t="shared" ref="X436:X443" si="99">T436/S436</f>
        <v>1.9235836627140974</v>
      </c>
      <c r="Y436" s="31">
        <f t="shared" si="91"/>
        <v>-0.2397520820934195</v>
      </c>
      <c r="Z436" s="31">
        <f t="shared" si="92"/>
        <v>-0.2397520820934195</v>
      </c>
      <c r="AA436" s="31" t="str">
        <f t="shared" si="93"/>
        <v/>
      </c>
    </row>
    <row r="437" spans="1:27" x14ac:dyDescent="0.25">
      <c r="A437" s="6" t="str">
        <f t="shared" si="86"/>
        <v>fragment</v>
      </c>
      <c r="B437" s="6" t="s">
        <v>372</v>
      </c>
      <c r="C437" s="6" t="str">
        <f t="shared" si="87"/>
        <v>HC166 428</v>
      </c>
      <c r="D437" s="6" t="s">
        <v>371</v>
      </c>
      <c r="E437" s="20">
        <v>428</v>
      </c>
      <c r="F437" s="6" t="s">
        <v>154</v>
      </c>
      <c r="G437" s="6" t="s">
        <v>414</v>
      </c>
      <c r="H437" s="6" t="s">
        <v>979</v>
      </c>
      <c r="I437" s="6" t="s">
        <v>20</v>
      </c>
      <c r="J437" s="29"/>
      <c r="K437" s="8" t="str">
        <f t="shared" si="88"/>
        <v/>
      </c>
      <c r="L437" s="8" t="str">
        <f t="shared" si="89"/>
        <v/>
      </c>
      <c r="M437" s="8"/>
      <c r="N437" s="8"/>
      <c r="O437" s="8">
        <v>1.9849999999999999</v>
      </c>
      <c r="P437" s="8">
        <f>1.656+1.176</f>
        <v>2.8319999999999999</v>
      </c>
      <c r="Q437" s="8">
        <v>0.92800000000000005</v>
      </c>
      <c r="R437" s="8">
        <f>0.707+0.847</f>
        <v>1.5539999999999998</v>
      </c>
      <c r="S437" s="8">
        <v>1.923</v>
      </c>
      <c r="T437" s="8">
        <f>0.648+1.789+0.976</f>
        <v>3.4129999999999998</v>
      </c>
      <c r="U437" s="8"/>
      <c r="V437" s="8">
        <f t="shared" si="97"/>
        <v>1.4267002518891687</v>
      </c>
      <c r="W437" s="8">
        <f>R437/Q437</f>
        <v>1.6745689655172411</v>
      </c>
      <c r="X437" s="8">
        <f t="shared" si="99"/>
        <v>1.7748309932397295</v>
      </c>
      <c r="Y437" s="31">
        <f t="shared" si="91"/>
        <v>-0.21095136767447417</v>
      </c>
      <c r="Z437" s="31">
        <f t="shared" si="92"/>
        <v>-0.21095136767447417</v>
      </c>
      <c r="AA437" s="31" t="str">
        <f t="shared" si="93"/>
        <v/>
      </c>
    </row>
    <row r="438" spans="1:27" x14ac:dyDescent="0.25">
      <c r="A438" s="6" t="str">
        <f t="shared" si="86"/>
        <v>fragment</v>
      </c>
      <c r="B438" s="6" t="s">
        <v>372</v>
      </c>
      <c r="C438" s="6" t="str">
        <f t="shared" si="87"/>
        <v>HC166 428</v>
      </c>
      <c r="D438" s="6" t="s">
        <v>371</v>
      </c>
      <c r="E438" s="20">
        <v>428</v>
      </c>
      <c r="F438" s="6" t="s">
        <v>154</v>
      </c>
      <c r="G438" s="6" t="s">
        <v>415</v>
      </c>
      <c r="H438" s="6" t="s">
        <v>979</v>
      </c>
      <c r="I438" s="6" t="s">
        <v>20</v>
      </c>
      <c r="J438" s="29"/>
      <c r="K438" s="8" t="str">
        <f t="shared" si="88"/>
        <v/>
      </c>
      <c r="L438" s="8" t="str">
        <f t="shared" si="89"/>
        <v/>
      </c>
      <c r="M438" s="8"/>
      <c r="N438" s="8"/>
      <c r="O438" s="8">
        <v>1.593</v>
      </c>
      <c r="P438" s="8">
        <f>1.18+0.751</f>
        <v>1.931</v>
      </c>
      <c r="Q438" s="8">
        <v>1.284</v>
      </c>
      <c r="R438" s="8">
        <f>0.318+0.948+0.336</f>
        <v>1.6020000000000001</v>
      </c>
      <c r="S438" s="8">
        <v>0.999</v>
      </c>
      <c r="T438" s="8">
        <f>0.776+0.535</f>
        <v>1.3109999999999999</v>
      </c>
      <c r="U438" s="8"/>
      <c r="V438" s="8">
        <f t="shared" si="97"/>
        <v>1.2121782799748901</v>
      </c>
      <c r="W438" s="8">
        <f>R438/Q438</f>
        <v>1.2476635514018692</v>
      </c>
      <c r="X438" s="8">
        <f t="shared" si="99"/>
        <v>1.3123123123123122</v>
      </c>
      <c r="Y438" s="31">
        <f t="shared" si="91"/>
        <v>-9.9468176531679484E-2</v>
      </c>
      <c r="Z438" s="31">
        <f t="shared" si="92"/>
        <v>-9.9468176531679484E-2</v>
      </c>
      <c r="AA438" s="31" t="str">
        <f t="shared" si="93"/>
        <v/>
      </c>
    </row>
    <row r="439" spans="1:27" x14ac:dyDescent="0.25">
      <c r="A439" s="6" t="str">
        <f t="shared" si="86"/>
        <v>fragment</v>
      </c>
      <c r="B439" s="6" t="s">
        <v>372</v>
      </c>
      <c r="C439" s="6" t="str">
        <f t="shared" si="87"/>
        <v>HC166 428</v>
      </c>
      <c r="D439" s="6" t="s">
        <v>371</v>
      </c>
      <c r="E439" s="20">
        <v>428</v>
      </c>
      <c r="F439" s="6" t="s">
        <v>154</v>
      </c>
      <c r="G439" s="6" t="s">
        <v>416</v>
      </c>
      <c r="H439" s="6" t="s">
        <v>979</v>
      </c>
      <c r="I439" s="6" t="s">
        <v>20</v>
      </c>
      <c r="J439" s="29"/>
      <c r="K439" s="8" t="str">
        <f t="shared" si="88"/>
        <v/>
      </c>
      <c r="L439" s="8" t="str">
        <f t="shared" si="89"/>
        <v/>
      </c>
      <c r="M439" s="8"/>
      <c r="N439" s="8"/>
      <c r="O439" s="8">
        <v>4.4770000000000003</v>
      </c>
      <c r="P439" s="8">
        <f>0.692+1.715+1.836+0.585</f>
        <v>4.8280000000000003</v>
      </c>
      <c r="Q439" s="8"/>
      <c r="R439" s="8"/>
      <c r="S439" s="8">
        <v>4.7119999999999997</v>
      </c>
      <c r="T439" s="8">
        <f>0.838+1.556+1.919+1.667+0.568</f>
        <v>6.548</v>
      </c>
      <c r="U439" s="8"/>
      <c r="V439" s="8">
        <f t="shared" si="97"/>
        <v>1.0784007147643511</v>
      </c>
      <c r="W439" s="8"/>
      <c r="X439" s="8">
        <f t="shared" si="99"/>
        <v>1.3896434634974535</v>
      </c>
      <c r="Y439" s="31">
        <f t="shared" si="91"/>
        <v>-9.1322933685716201E-2</v>
      </c>
      <c r="Z439" s="31">
        <f t="shared" si="92"/>
        <v>-9.1322933685716201E-2</v>
      </c>
      <c r="AA439" s="31" t="str">
        <f t="shared" si="93"/>
        <v/>
      </c>
    </row>
    <row r="440" spans="1:27" x14ac:dyDescent="0.25">
      <c r="A440" s="6" t="str">
        <f t="shared" si="86"/>
        <v>fragment</v>
      </c>
      <c r="B440" s="6" t="s">
        <v>372</v>
      </c>
      <c r="C440" s="6" t="str">
        <f t="shared" si="87"/>
        <v>HC166 428</v>
      </c>
      <c r="D440" s="6" t="s">
        <v>371</v>
      </c>
      <c r="E440" s="20">
        <v>428</v>
      </c>
      <c r="F440" s="6" t="s">
        <v>154</v>
      </c>
      <c r="G440" s="6" t="s">
        <v>417</v>
      </c>
      <c r="H440" s="6" t="s">
        <v>979</v>
      </c>
      <c r="I440" s="6" t="s">
        <v>20</v>
      </c>
      <c r="J440" s="29"/>
      <c r="K440" s="8" t="str">
        <f t="shared" si="88"/>
        <v/>
      </c>
      <c r="L440" s="8" t="str">
        <f t="shared" si="89"/>
        <v/>
      </c>
      <c r="M440" s="8"/>
      <c r="N440" s="8"/>
      <c r="O440" s="8">
        <v>3.8540000000000001</v>
      </c>
      <c r="P440" s="8">
        <f>1.373+2.05+1.922</f>
        <v>5.3449999999999998</v>
      </c>
      <c r="Q440" s="8"/>
      <c r="R440" s="8"/>
      <c r="S440" s="8">
        <v>1.504</v>
      </c>
      <c r="T440" s="8">
        <f>0.742+1.301</f>
        <v>2.0430000000000001</v>
      </c>
      <c r="U440" s="8"/>
      <c r="V440" s="8">
        <f t="shared" si="97"/>
        <v>1.3868707836014529</v>
      </c>
      <c r="W440" s="8"/>
      <c r="X440" s="8">
        <f t="shared" si="99"/>
        <v>1.3583776595744681</v>
      </c>
      <c r="Y440" s="31">
        <f t="shared" si="91"/>
        <v>-0.13755165826526078</v>
      </c>
      <c r="Z440" s="31">
        <f t="shared" si="92"/>
        <v>-0.13755165826526078</v>
      </c>
      <c r="AA440" s="31" t="str">
        <f t="shared" si="93"/>
        <v/>
      </c>
    </row>
    <row r="441" spans="1:27" x14ac:dyDescent="0.25">
      <c r="A441" s="6" t="str">
        <f t="shared" si="86"/>
        <v>fragment</v>
      </c>
      <c r="B441" s="6" t="s">
        <v>372</v>
      </c>
      <c r="C441" s="6" t="str">
        <f t="shared" si="87"/>
        <v>HC166 428</v>
      </c>
      <c r="D441" s="6" t="s">
        <v>371</v>
      </c>
      <c r="E441" s="20">
        <v>428</v>
      </c>
      <c r="F441" s="6" t="s">
        <v>154</v>
      </c>
      <c r="G441" s="6" t="s">
        <v>418</v>
      </c>
      <c r="H441" s="6" t="s">
        <v>979</v>
      </c>
      <c r="I441" s="6" t="s">
        <v>20</v>
      </c>
      <c r="J441" s="29"/>
      <c r="K441" s="8" t="str">
        <f t="shared" si="88"/>
        <v/>
      </c>
      <c r="L441" s="8" t="str">
        <f t="shared" si="89"/>
        <v/>
      </c>
      <c r="M441" s="8"/>
      <c r="N441" s="8"/>
      <c r="O441" s="8">
        <v>4.3259999999999996</v>
      </c>
      <c r="P441" s="8">
        <f>1.235+2.295+0.183+1.522</f>
        <v>5.2350000000000003</v>
      </c>
      <c r="Q441" s="8">
        <v>1.64</v>
      </c>
      <c r="R441" s="8">
        <f>0.862+0.289+1.084</f>
        <v>2.2350000000000003</v>
      </c>
      <c r="S441" s="8">
        <v>1.389</v>
      </c>
      <c r="T441" s="8">
        <f>0.473+0.843+0.302</f>
        <v>1.6179999999999999</v>
      </c>
      <c r="U441" s="8"/>
      <c r="V441" s="8">
        <f t="shared" si="97"/>
        <v>1.2101248266296811</v>
      </c>
      <c r="W441" s="8">
        <f>R441/Q441</f>
        <v>1.3628048780487807</v>
      </c>
      <c r="X441" s="8">
        <f t="shared" si="99"/>
        <v>1.1648668106551474</v>
      </c>
      <c r="Y441" s="31">
        <f t="shared" si="91"/>
        <v>-9.5494400088478981E-2</v>
      </c>
      <c r="Z441" s="31">
        <f t="shared" si="92"/>
        <v>-9.5494400088478981E-2</v>
      </c>
      <c r="AA441" s="31" t="str">
        <f t="shared" si="93"/>
        <v/>
      </c>
    </row>
    <row r="442" spans="1:27" x14ac:dyDescent="0.25">
      <c r="A442" s="6" t="str">
        <f t="shared" si="86"/>
        <v>fragment</v>
      </c>
      <c r="B442" s="6" t="s">
        <v>372</v>
      </c>
      <c r="C442" s="6" t="str">
        <f t="shared" si="87"/>
        <v>HC166 428</v>
      </c>
      <c r="D442" s="6" t="s">
        <v>371</v>
      </c>
      <c r="E442" s="20">
        <v>428</v>
      </c>
      <c r="F442" s="6" t="s">
        <v>154</v>
      </c>
      <c r="G442" s="6" t="s">
        <v>419</v>
      </c>
      <c r="H442" s="6" t="s">
        <v>979</v>
      </c>
      <c r="I442" s="6" t="s">
        <v>20</v>
      </c>
      <c r="J442" s="29"/>
      <c r="K442" s="8" t="str">
        <f t="shared" si="88"/>
        <v/>
      </c>
      <c r="L442" s="8" t="str">
        <f t="shared" si="89"/>
        <v/>
      </c>
      <c r="M442" s="8"/>
      <c r="N442" s="8"/>
      <c r="O442" s="8">
        <v>5.4509999999999996</v>
      </c>
      <c r="P442" s="8">
        <f>2.047+0.584+2.522+0.679+1.22+0.498</f>
        <v>7.5500000000000007</v>
      </c>
      <c r="Q442" s="8"/>
      <c r="R442" s="8"/>
      <c r="S442" s="8">
        <v>2.9089999999999998</v>
      </c>
      <c r="T442" s="8">
        <f>1.145+1.765+1.561+0.514</f>
        <v>4.9850000000000003</v>
      </c>
      <c r="U442" s="8"/>
      <c r="V442" s="8">
        <f t="shared" si="97"/>
        <v>1.385066960190791</v>
      </c>
      <c r="W442" s="8"/>
      <c r="X442" s="8">
        <f t="shared" si="99"/>
        <v>1.7136473014781715</v>
      </c>
      <c r="Y442" s="31">
        <f t="shared" si="91"/>
        <v>-0.19015153530206508</v>
      </c>
      <c r="Z442" s="31">
        <f t="shared" si="92"/>
        <v>-0.19015153530206508</v>
      </c>
      <c r="AA442" s="31" t="str">
        <f t="shared" si="93"/>
        <v/>
      </c>
    </row>
    <row r="443" spans="1:27" x14ac:dyDescent="0.25">
      <c r="A443" s="6" t="str">
        <f t="shared" si="86"/>
        <v>complete</v>
      </c>
      <c r="B443" s="6" t="s">
        <v>372</v>
      </c>
      <c r="C443" s="6" t="str">
        <f t="shared" si="87"/>
        <v>HC166 428</v>
      </c>
      <c r="D443" s="6" t="s">
        <v>371</v>
      </c>
      <c r="E443" s="20">
        <v>428</v>
      </c>
      <c r="F443" s="6" t="s">
        <v>154</v>
      </c>
      <c r="G443" s="6" t="s">
        <v>420</v>
      </c>
      <c r="H443" s="6" t="s">
        <v>979</v>
      </c>
      <c r="I443" s="6" t="s">
        <v>20</v>
      </c>
      <c r="J443" s="29">
        <v>72.314949999999996</v>
      </c>
      <c r="K443" s="8">
        <f t="shared" si="88"/>
        <v>1.8592280902589178</v>
      </c>
      <c r="L443" s="8">
        <f t="shared" si="89"/>
        <v>8.8862010710940638</v>
      </c>
      <c r="M443" s="8"/>
      <c r="N443" s="8"/>
      <c r="O443" s="8">
        <v>2.7109999999999999</v>
      </c>
      <c r="P443" s="8">
        <f>0.423+0.938+0.794+0.767</f>
        <v>2.9220000000000002</v>
      </c>
      <c r="Q443" s="8"/>
      <c r="R443" s="8"/>
      <c r="S443" s="8">
        <v>3.1789999999999998</v>
      </c>
      <c r="T443" s="8">
        <f>0.75+1.234+1.121+0.916</f>
        <v>4.0209999999999999</v>
      </c>
      <c r="U443" s="8"/>
      <c r="V443" s="8">
        <f t="shared" si="97"/>
        <v>1.0778310586499449</v>
      </c>
      <c r="W443" s="8"/>
      <c r="X443" s="8">
        <f t="shared" si="99"/>
        <v>1.2648631645171438</v>
      </c>
      <c r="Y443" s="31">
        <f t="shared" si="91"/>
        <v>-6.8685610962246402E-2</v>
      </c>
      <c r="Z443" s="31" t="str">
        <f t="shared" si="92"/>
        <v/>
      </c>
      <c r="AA443" s="31">
        <f t="shared" si="93"/>
        <v>-6.8685610962246402E-2</v>
      </c>
    </row>
    <row r="444" spans="1:27" x14ac:dyDescent="0.25">
      <c r="A444" s="6" t="str">
        <f t="shared" si="86"/>
        <v>complete</v>
      </c>
      <c r="B444" s="6" t="s">
        <v>372</v>
      </c>
      <c r="C444" s="6" t="str">
        <f t="shared" si="87"/>
        <v>HC166 428</v>
      </c>
      <c r="D444" s="6" t="s">
        <v>371</v>
      </c>
      <c r="E444" s="20">
        <v>428</v>
      </c>
      <c r="F444" s="6" t="s">
        <v>154</v>
      </c>
      <c r="G444" s="6" t="s">
        <v>421</v>
      </c>
      <c r="H444" s="6" t="s">
        <v>979</v>
      </c>
      <c r="I444" s="6" t="s">
        <v>20</v>
      </c>
      <c r="J444" s="29">
        <v>54.676000000000002</v>
      </c>
      <c r="K444" s="8">
        <f t="shared" si="88"/>
        <v>1.7377967348374361</v>
      </c>
      <c r="L444" s="8">
        <f t="shared" si="89"/>
        <v>8.6065950422784976</v>
      </c>
      <c r="M444" s="8"/>
      <c r="N444" s="8"/>
      <c r="O444" s="8">
        <v>6.5809999999999995</v>
      </c>
      <c r="P444" s="8">
        <f>0.803+1.998+2.153+2.225+0.467</f>
        <v>7.6459999999999999</v>
      </c>
      <c r="Q444" s="8">
        <v>4.3289999999999997</v>
      </c>
      <c r="R444" s="8">
        <f>0.608+1.989+2.061+1.553</f>
        <v>6.2109999999999994</v>
      </c>
      <c r="S444" s="8"/>
      <c r="T444" s="8"/>
      <c r="U444" s="8"/>
      <c r="V444" s="8">
        <f t="shared" si="97"/>
        <v>1.1618295091931319</v>
      </c>
      <c r="W444" s="8">
        <f>R444/Q444</f>
        <v>1.4347424347424347</v>
      </c>
      <c r="X444" s="8"/>
      <c r="Y444" s="31">
        <f t="shared" si="91"/>
        <v>-0.11337036455088517</v>
      </c>
      <c r="Z444" s="31" t="str">
        <f t="shared" si="92"/>
        <v/>
      </c>
      <c r="AA444" s="31">
        <f t="shared" si="93"/>
        <v>-0.11337036455088517</v>
      </c>
    </row>
    <row r="445" spans="1:27" x14ac:dyDescent="0.25">
      <c r="A445" s="6" t="str">
        <f t="shared" si="86"/>
        <v>complete</v>
      </c>
      <c r="C445" s="6" t="str">
        <f t="shared" si="87"/>
        <v>HC169 428</v>
      </c>
      <c r="D445" s="6" t="s">
        <v>422</v>
      </c>
      <c r="E445" s="20">
        <v>428</v>
      </c>
      <c r="F445" s="6" t="s">
        <v>154</v>
      </c>
      <c r="G445" s="6" t="s">
        <v>423</v>
      </c>
      <c r="H445" s="6" t="s">
        <v>979</v>
      </c>
      <c r="I445" s="6" t="s">
        <v>20</v>
      </c>
      <c r="J445" s="29">
        <f>9.391*2</f>
        <v>18.782</v>
      </c>
      <c r="K445" s="8">
        <f t="shared" si="88"/>
        <v>1.2737418362110478</v>
      </c>
      <c r="L445" s="8">
        <f t="shared" si="89"/>
        <v>7.5380691503705135</v>
      </c>
      <c r="M445" s="8"/>
      <c r="N445" s="8"/>
      <c r="O445" s="8">
        <v>3.859</v>
      </c>
      <c r="P445" s="8">
        <f>0.877 + 1.098 + 1.577 + 0.201 + 1.458 + 0.144 + 0.797</f>
        <v>6.1520000000000001</v>
      </c>
      <c r="Q445" s="8"/>
      <c r="R445" s="8"/>
      <c r="S445" s="8">
        <v>2.883</v>
      </c>
      <c r="T445" s="8">
        <f>0.453 + 1.708 + 1.211 + 0.707</f>
        <v>4.0789999999999997</v>
      </c>
      <c r="U445" s="8"/>
      <c r="V445" s="8">
        <f t="shared" si="97"/>
        <v>1.5941953874060637</v>
      </c>
      <c r="W445" s="8"/>
      <c r="X445" s="8">
        <f>T445/S445</f>
        <v>1.4148456468955948</v>
      </c>
      <c r="Y445" s="31">
        <f t="shared" si="91"/>
        <v>-0.1773981145916414</v>
      </c>
      <c r="Z445" s="31" t="str">
        <f t="shared" si="92"/>
        <v/>
      </c>
      <c r="AA445" s="31">
        <f t="shared" si="93"/>
        <v>-0.1773981145916414</v>
      </c>
    </row>
    <row r="446" spans="1:27" x14ac:dyDescent="0.25">
      <c r="A446" s="6" t="str">
        <f t="shared" si="86"/>
        <v>complete</v>
      </c>
      <c r="C446" s="6" t="str">
        <f t="shared" si="87"/>
        <v>HC169 428</v>
      </c>
      <c r="D446" s="6" t="s">
        <v>422</v>
      </c>
      <c r="E446" s="20">
        <v>428</v>
      </c>
      <c r="F446" s="6" t="s">
        <v>154</v>
      </c>
      <c r="G446" s="6" t="s">
        <v>424</v>
      </c>
      <c r="H446" s="6" t="s">
        <v>979</v>
      </c>
      <c r="I446" s="6" t="s">
        <v>20</v>
      </c>
      <c r="J446" s="29">
        <v>11.180999999999999</v>
      </c>
      <c r="K446" s="8">
        <f t="shared" si="88"/>
        <v>1.048480647473502</v>
      </c>
      <c r="L446" s="8">
        <f t="shared" si="89"/>
        <v>7.0193860951533225</v>
      </c>
      <c r="M446" s="8"/>
      <c r="N446" s="8"/>
      <c r="O446" s="8">
        <v>1.2010000000000001</v>
      </c>
      <c r="P446" s="8">
        <f>0.554+0.739+0.761</f>
        <v>2.0540000000000003</v>
      </c>
      <c r="Q446" s="8"/>
      <c r="R446" s="8"/>
      <c r="S446" s="8">
        <v>2.4830000000000001</v>
      </c>
      <c r="T446" s="8">
        <f>0.73+0.217+1.299+0.194+1.381+0.198+0.638</f>
        <v>4.657</v>
      </c>
      <c r="U446" s="8"/>
      <c r="V446" s="8">
        <f t="shared" si="97"/>
        <v>1.7102414654454623</v>
      </c>
      <c r="W446" s="8"/>
      <c r="X446" s="8">
        <f>T446/S446</f>
        <v>1.8755537656061216</v>
      </c>
      <c r="Y446" s="31">
        <f t="shared" si="91"/>
        <v>-0.25355548962812974</v>
      </c>
      <c r="Z446" s="31" t="str">
        <f t="shared" si="92"/>
        <v/>
      </c>
      <c r="AA446" s="31">
        <f t="shared" si="93"/>
        <v>-0.25355548962812974</v>
      </c>
    </row>
    <row r="447" spans="1:27" x14ac:dyDescent="0.25">
      <c r="A447" s="6" t="str">
        <f t="shared" si="86"/>
        <v>complete</v>
      </c>
      <c r="C447" s="6" t="str">
        <f t="shared" si="87"/>
        <v>HC169 428</v>
      </c>
      <c r="D447" s="6" t="s">
        <v>422</v>
      </c>
      <c r="E447" s="20">
        <v>428</v>
      </c>
      <c r="F447" s="6" t="s">
        <v>154</v>
      </c>
      <c r="G447" s="6" t="s">
        <v>425</v>
      </c>
      <c r="H447" s="6" t="s">
        <v>979</v>
      </c>
      <c r="I447" s="6" t="s">
        <v>20</v>
      </c>
      <c r="J447" s="29">
        <v>7.4660000000000002</v>
      </c>
      <c r="K447" s="8">
        <f t="shared" si="88"/>
        <v>0.87308798559028578</v>
      </c>
      <c r="L447" s="8">
        <f t="shared" si="89"/>
        <v>6.6155295664804834</v>
      </c>
      <c r="M447" s="8"/>
      <c r="N447" s="8"/>
      <c r="O447" s="8">
        <v>1.036</v>
      </c>
      <c r="P447" s="8">
        <f>0.622+0.85+0.763</f>
        <v>2.2349999999999999</v>
      </c>
      <c r="Q447" s="8"/>
      <c r="R447" s="8"/>
      <c r="S447" s="8"/>
      <c r="T447" s="8"/>
      <c r="U447" s="8"/>
      <c r="V447" s="8">
        <f t="shared" si="97"/>
        <v>2.1573359073359071</v>
      </c>
      <c r="W447" s="8"/>
      <c r="X447" s="8"/>
      <c r="Y447" s="31">
        <f t="shared" si="91"/>
        <v>-0.33391777205874096</v>
      </c>
      <c r="Z447" s="31" t="str">
        <f t="shared" si="92"/>
        <v/>
      </c>
      <c r="AA447" s="31">
        <f t="shared" si="93"/>
        <v>-0.33391777205874096</v>
      </c>
    </row>
    <row r="448" spans="1:27" x14ac:dyDescent="0.25">
      <c r="A448" s="6" t="str">
        <f t="shared" si="86"/>
        <v>fragment</v>
      </c>
      <c r="C448" s="6" t="str">
        <f t="shared" si="87"/>
        <v>HC169 428</v>
      </c>
      <c r="D448" s="6" t="s">
        <v>422</v>
      </c>
      <c r="E448" s="20">
        <v>428</v>
      </c>
      <c r="F448" s="6" t="s">
        <v>154</v>
      </c>
      <c r="G448" s="6" t="s">
        <v>426</v>
      </c>
      <c r="H448" s="6" t="s">
        <v>979</v>
      </c>
      <c r="I448" s="6" t="s">
        <v>20</v>
      </c>
      <c r="J448" s="29"/>
      <c r="K448" s="8" t="str">
        <f t="shared" si="88"/>
        <v/>
      </c>
      <c r="L448" s="8" t="str">
        <f t="shared" si="89"/>
        <v/>
      </c>
      <c r="M448" s="8"/>
      <c r="N448" s="8"/>
      <c r="O448" s="8">
        <v>2.032</v>
      </c>
      <c r="P448" s="8">
        <f>0.366+1.026+0.369+0.96+0.81</f>
        <v>3.5310000000000001</v>
      </c>
      <c r="Q448" s="8"/>
      <c r="R448" s="8"/>
      <c r="S448" s="8">
        <v>3.2869999999999999</v>
      </c>
      <c r="T448" s="8">
        <f>0.785+1.388+1.336+1.11</f>
        <v>4.6190000000000007</v>
      </c>
      <c r="U448" s="8"/>
      <c r="V448" s="8">
        <f t="shared" si="97"/>
        <v>1.7376968503937009</v>
      </c>
      <c r="W448" s="8"/>
      <c r="X448" s="8">
        <f>T448/S448</f>
        <v>1.4052327350167328</v>
      </c>
      <c r="Y448" s="31">
        <f t="shared" si="91"/>
        <v>-0.19630465547442022</v>
      </c>
      <c r="Z448" s="31">
        <f t="shared" si="92"/>
        <v>-0.19630465547442022</v>
      </c>
      <c r="AA448" s="31" t="str">
        <f t="shared" si="93"/>
        <v/>
      </c>
    </row>
    <row r="449" spans="1:27" x14ac:dyDescent="0.25">
      <c r="A449" s="6" t="str">
        <f t="shared" si="86"/>
        <v>complete</v>
      </c>
      <c r="C449" s="6" t="str">
        <f t="shared" si="87"/>
        <v>HC169 428</v>
      </c>
      <c r="D449" s="6" t="s">
        <v>422</v>
      </c>
      <c r="E449" s="20">
        <v>428</v>
      </c>
      <c r="F449" s="6" t="s">
        <v>154</v>
      </c>
      <c r="G449" s="6" t="s">
        <v>427</v>
      </c>
      <c r="H449" s="6" t="s">
        <v>979</v>
      </c>
      <c r="I449" s="6" t="s">
        <v>20</v>
      </c>
      <c r="J449" s="29">
        <v>13.83</v>
      </c>
      <c r="K449" s="8">
        <f t="shared" si="88"/>
        <v>1.1408221801093106</v>
      </c>
      <c r="L449" s="8">
        <f t="shared" si="89"/>
        <v>7.2320103316647586</v>
      </c>
      <c r="M449" s="8"/>
      <c r="N449" s="8"/>
      <c r="O449" s="8">
        <v>1.9510000000000001</v>
      </c>
      <c r="P449" s="8">
        <f>0.987+0.378+0.923+0.841+0.731</f>
        <v>3.8600000000000003</v>
      </c>
      <c r="Q449" s="8">
        <v>1.012</v>
      </c>
      <c r="R449" s="8">
        <f>0.629+0.766+0.631</f>
        <v>2.0259999999999998</v>
      </c>
      <c r="S449" s="8"/>
      <c r="T449" s="8"/>
      <c r="U449" s="8"/>
      <c r="V449" s="8">
        <f t="shared" si="97"/>
        <v>1.9784725781650436</v>
      </c>
      <c r="W449" s="8">
        <f>R449/Q449</f>
        <v>2.00197628458498</v>
      </c>
      <c r="X449" s="8"/>
      <c r="Y449" s="31">
        <f t="shared" si="91"/>
        <v>-0.29890205319959245</v>
      </c>
      <c r="Z449" s="31" t="str">
        <f t="shared" si="92"/>
        <v/>
      </c>
      <c r="AA449" s="31">
        <f t="shared" si="93"/>
        <v>-0.29890205319959245</v>
      </c>
    </row>
    <row r="450" spans="1:27" x14ac:dyDescent="0.25">
      <c r="A450" s="6" t="str">
        <f t="shared" ref="A450:A513" si="100">IF(J450&gt;0,"complete","fragment")</f>
        <v>complete</v>
      </c>
      <c r="C450" s="6" t="str">
        <f t="shared" ref="C450:C513" si="101">D450&amp;" "&amp;E450</f>
        <v>HC169 428</v>
      </c>
      <c r="D450" s="6" t="s">
        <v>422</v>
      </c>
      <c r="E450" s="20">
        <v>428</v>
      </c>
      <c r="F450" s="6" t="s">
        <v>154</v>
      </c>
      <c r="G450" s="6" t="s">
        <v>428</v>
      </c>
      <c r="H450" s="6" t="s">
        <v>979</v>
      </c>
      <c r="I450" s="6" t="s">
        <v>20</v>
      </c>
      <c r="J450" s="29">
        <v>18.702999999999999</v>
      </c>
      <c r="K450" s="8">
        <f t="shared" ref="K450:K513" si="102">IF(J450&gt;0,LOG(J450),"")</f>
        <v>1.2719112738598957</v>
      </c>
      <c r="L450" s="8">
        <f t="shared" ref="L450:L513" si="103">IF(J450&gt;0,LN(J450*100),"")</f>
        <v>7.5338541247889541</v>
      </c>
      <c r="M450" s="8"/>
      <c r="N450" s="8"/>
      <c r="O450" s="8">
        <v>3.02</v>
      </c>
      <c r="P450" s="8">
        <f>0.947 + 0.904 + 1.057 + 1.054 + 0.463 + 0.674 + 0.793</f>
        <v>5.8920000000000003</v>
      </c>
      <c r="Q450" s="8"/>
      <c r="R450" s="8"/>
      <c r="S450" s="8">
        <v>2.5099999999999998</v>
      </c>
      <c r="T450" s="8">
        <f>0.777 + 0.707 + 0.93 + 0.9 + 0.867</f>
        <v>4.181</v>
      </c>
      <c r="U450" s="8"/>
      <c r="V450" s="8">
        <f t="shared" si="97"/>
        <v>1.9509933774834438</v>
      </c>
      <c r="W450" s="8"/>
      <c r="X450" s="8">
        <f>T450/S450</f>
        <v>1.6657370517928289</v>
      </c>
      <c r="Y450" s="31">
        <f t="shared" ref="Y450:Y513" si="104">IF(COUNT(U450:X450)&gt;0,LOG(1/AVERAGE(U450:X450)),"")</f>
        <v>-0.25728614443834269</v>
      </c>
      <c r="Z450" s="31" t="str">
        <f t="shared" ref="Z450:Z513" si="105">IF(A450="fragment",IF(ISNUMBER(Y450)=TRUE,Y450,""),"")</f>
        <v/>
      </c>
      <c r="AA450" s="31">
        <f t="shared" ref="AA450:AA513" si="106">IF(A450="complete",IF(ISNUMBER(Y450)=TRUE,Y450,""),"")</f>
        <v>-0.25728614443834269</v>
      </c>
    </row>
    <row r="451" spans="1:27" x14ac:dyDescent="0.25">
      <c r="A451" s="6" t="str">
        <f t="shared" si="100"/>
        <v>fragment</v>
      </c>
      <c r="C451" s="6" t="str">
        <f t="shared" si="101"/>
        <v>HC169 428</v>
      </c>
      <c r="D451" s="6" t="s">
        <v>422</v>
      </c>
      <c r="E451" s="20">
        <v>428</v>
      </c>
      <c r="F451" s="6" t="s">
        <v>154</v>
      </c>
      <c r="G451" s="6" t="s">
        <v>429</v>
      </c>
      <c r="H451" s="6" t="s">
        <v>979</v>
      </c>
      <c r="I451" s="6" t="s">
        <v>20</v>
      </c>
      <c r="J451" s="29"/>
      <c r="K451" s="8" t="str">
        <f t="shared" si="102"/>
        <v/>
      </c>
      <c r="L451" s="8" t="str">
        <f t="shared" si="103"/>
        <v/>
      </c>
      <c r="M451" s="8"/>
      <c r="N451" s="8"/>
      <c r="O451" s="8">
        <v>2.9510000000000001</v>
      </c>
      <c r="P451" s="8">
        <f>0.99 + 0.232 + 0.459 + 1.118 + 0.135 + 0.969 + 0.511</f>
        <v>4.4139999999999997</v>
      </c>
      <c r="Q451" s="8"/>
      <c r="R451" s="8"/>
      <c r="S451" s="8">
        <v>2.1339999999999999</v>
      </c>
      <c r="T451" s="8">
        <f>0.735 + 0.98 + 0.751</f>
        <v>2.4659999999999997</v>
      </c>
      <c r="U451" s="8"/>
      <c r="V451" s="8">
        <f t="shared" si="97"/>
        <v>1.4957641477465264</v>
      </c>
      <c r="W451" s="8"/>
      <c r="X451" s="8">
        <f>T451/S451</f>
        <v>1.1555763823805061</v>
      </c>
      <c r="Y451" s="31">
        <f t="shared" si="104"/>
        <v>-0.12243551511603461</v>
      </c>
      <c r="Z451" s="31">
        <f t="shared" si="105"/>
        <v>-0.12243551511603461</v>
      </c>
      <c r="AA451" s="31" t="str">
        <f t="shared" si="106"/>
        <v/>
      </c>
    </row>
    <row r="452" spans="1:27" x14ac:dyDescent="0.25">
      <c r="A452" s="6" t="str">
        <f t="shared" si="100"/>
        <v>fragment</v>
      </c>
      <c r="C452" s="6" t="str">
        <f t="shared" si="101"/>
        <v>HC169 428</v>
      </c>
      <c r="D452" s="6" t="s">
        <v>422</v>
      </c>
      <c r="E452" s="20">
        <v>428</v>
      </c>
      <c r="F452" s="6" t="s">
        <v>154</v>
      </c>
      <c r="G452" s="6" t="s">
        <v>430</v>
      </c>
      <c r="H452" s="6" t="s">
        <v>979</v>
      </c>
      <c r="I452" s="6" t="s">
        <v>20</v>
      </c>
      <c r="J452" s="29"/>
      <c r="K452" s="8" t="str">
        <f t="shared" si="102"/>
        <v/>
      </c>
      <c r="L452" s="8" t="str">
        <f t="shared" si="103"/>
        <v/>
      </c>
      <c r="M452" s="8">
        <v>2.141</v>
      </c>
      <c r="N452" s="8">
        <f>1.047 + 1.006 + 0.881</f>
        <v>2.9340000000000002</v>
      </c>
      <c r="O452" s="8"/>
      <c r="P452" s="8"/>
      <c r="Q452" s="8"/>
      <c r="R452" s="8"/>
      <c r="S452" s="8">
        <v>3.9870000000000001</v>
      </c>
      <c r="T452" s="8">
        <f>0.536 + 1.976 + 1.431 + 0.488 + 1.195</f>
        <v>5.6260000000000003</v>
      </c>
      <c r="U452" s="8">
        <f>N452/M452</f>
        <v>1.3703876693134049</v>
      </c>
      <c r="V452" s="8"/>
      <c r="W452" s="8"/>
      <c r="X452" s="8">
        <f>T452/S452</f>
        <v>1.4110860295961876</v>
      </c>
      <c r="Y452" s="31">
        <f t="shared" si="104"/>
        <v>-0.14324496202561557</v>
      </c>
      <c r="Z452" s="31">
        <f t="shared" si="105"/>
        <v>-0.14324496202561557</v>
      </c>
      <c r="AA452" s="31" t="str">
        <f t="shared" si="106"/>
        <v/>
      </c>
    </row>
    <row r="453" spans="1:27" x14ac:dyDescent="0.25">
      <c r="A453" s="6" t="str">
        <f t="shared" si="100"/>
        <v>fragment</v>
      </c>
      <c r="C453" s="6" t="str">
        <f t="shared" si="101"/>
        <v>HC169 428</v>
      </c>
      <c r="D453" s="6" t="s">
        <v>422</v>
      </c>
      <c r="E453" s="20">
        <v>428</v>
      </c>
      <c r="F453" s="6" t="s">
        <v>154</v>
      </c>
      <c r="G453" s="6" t="s">
        <v>432</v>
      </c>
      <c r="H453" s="6" t="s">
        <v>979</v>
      </c>
      <c r="I453" s="6" t="s">
        <v>20</v>
      </c>
      <c r="J453" s="29"/>
      <c r="K453" s="8" t="str">
        <f t="shared" si="102"/>
        <v/>
      </c>
      <c r="L453" s="8" t="str">
        <f t="shared" si="103"/>
        <v/>
      </c>
      <c r="M453" s="8"/>
      <c r="N453" s="8"/>
      <c r="O453" s="8">
        <v>4.9859999999999998</v>
      </c>
      <c r="P453" s="8">
        <f>1.157+0.359+1.717+1.428+0.959</f>
        <v>5.6199999999999992</v>
      </c>
      <c r="Q453" s="8">
        <v>2.2719999999999998</v>
      </c>
      <c r="R453" s="8">
        <f>0.975+1.058+1.01</f>
        <v>3.0430000000000001</v>
      </c>
      <c r="S453" s="8"/>
      <c r="T453" s="8"/>
      <c r="U453" s="8"/>
      <c r="V453" s="8">
        <f t="shared" ref="V453:V472" si="107">P453/O453</f>
        <v>1.1271560369033293</v>
      </c>
      <c r="W453" s="8">
        <f>R453/Q453</f>
        <v>1.339348591549296</v>
      </c>
      <c r="X453" s="8"/>
      <c r="Y453" s="31">
        <f t="shared" si="104"/>
        <v>-9.1051939098520607E-2</v>
      </c>
      <c r="Z453" s="31">
        <f t="shared" si="105"/>
        <v>-9.1051939098520607E-2</v>
      </c>
      <c r="AA453" s="31" t="str">
        <f t="shared" si="106"/>
        <v/>
      </c>
    </row>
    <row r="454" spans="1:27" x14ac:dyDescent="0.25">
      <c r="A454" s="6" t="str">
        <f t="shared" si="100"/>
        <v>fragment</v>
      </c>
      <c r="C454" s="6" t="str">
        <f t="shared" si="101"/>
        <v>HC169 428</v>
      </c>
      <c r="D454" s="6" t="s">
        <v>422</v>
      </c>
      <c r="E454" s="20">
        <v>428</v>
      </c>
      <c r="F454" s="6" t="s">
        <v>154</v>
      </c>
      <c r="G454" s="6" t="s">
        <v>433</v>
      </c>
      <c r="H454" s="6" t="s">
        <v>979</v>
      </c>
      <c r="I454" s="6" t="s">
        <v>20</v>
      </c>
      <c r="J454" s="29"/>
      <c r="K454" s="8" t="str">
        <f t="shared" si="102"/>
        <v/>
      </c>
      <c r="L454" s="8" t="str">
        <f t="shared" si="103"/>
        <v/>
      </c>
      <c r="M454" s="8"/>
      <c r="N454" s="8"/>
      <c r="O454" s="8">
        <v>1.5389999999999999</v>
      </c>
      <c r="P454" s="8">
        <f>0.767+0.799+0.867</f>
        <v>2.4329999999999998</v>
      </c>
      <c r="Q454" s="8"/>
      <c r="R454" s="8"/>
      <c r="S454" s="8">
        <v>2.274</v>
      </c>
      <c r="T454" s="8">
        <f>0.463+0.946+1.007+0.32</f>
        <v>2.7359999999999998</v>
      </c>
      <c r="U454" s="8"/>
      <c r="V454" s="8">
        <f t="shared" si="107"/>
        <v>1.5808966861598439</v>
      </c>
      <c r="W454" s="8"/>
      <c r="X454" s="8">
        <f>T454/S454</f>
        <v>1.2031662269129286</v>
      </c>
      <c r="Y454" s="31">
        <f t="shared" si="104"/>
        <v>-0.14364904938791537</v>
      </c>
      <c r="Z454" s="31">
        <f t="shared" si="105"/>
        <v>-0.14364904938791537</v>
      </c>
      <c r="AA454" s="31" t="str">
        <f t="shared" si="106"/>
        <v/>
      </c>
    </row>
    <row r="455" spans="1:27" x14ac:dyDescent="0.25">
      <c r="A455" s="6" t="str">
        <f t="shared" si="100"/>
        <v>complete</v>
      </c>
      <c r="C455" s="6" t="str">
        <f t="shared" si="101"/>
        <v>HC169 428</v>
      </c>
      <c r="D455" s="6" t="s">
        <v>422</v>
      </c>
      <c r="E455" s="20">
        <v>428</v>
      </c>
      <c r="F455" s="6" t="s">
        <v>154</v>
      </c>
      <c r="G455" s="6" t="s">
        <v>434</v>
      </c>
      <c r="H455" s="6" t="s">
        <v>979</v>
      </c>
      <c r="I455" s="6" t="s">
        <v>20</v>
      </c>
      <c r="J455" s="29">
        <f>11.002*2</f>
        <v>22.004000000000001</v>
      </c>
      <c r="K455" s="8">
        <f t="shared" si="102"/>
        <v>1.3425016362777284</v>
      </c>
      <c r="L455" s="8">
        <f t="shared" si="103"/>
        <v>7.6963944410013028</v>
      </c>
      <c r="M455" s="8"/>
      <c r="N455" s="8"/>
      <c r="O455" s="8">
        <v>3.6219999999999999</v>
      </c>
      <c r="P455" s="8">
        <f>1.067+1.687+1.15+0.136</f>
        <v>4.04</v>
      </c>
      <c r="Q455" s="8"/>
      <c r="R455" s="8"/>
      <c r="S455" s="8"/>
      <c r="T455" s="8"/>
      <c r="U455" s="8"/>
      <c r="V455" s="8">
        <f t="shared" si="107"/>
        <v>1.1154058531198234</v>
      </c>
      <c r="W455" s="8"/>
      <c r="X455" s="8"/>
      <c r="Y455" s="31">
        <f t="shared" si="104"/>
        <v>-4.7432919132565407E-2</v>
      </c>
      <c r="Z455" s="31" t="str">
        <f t="shared" si="105"/>
        <v/>
      </c>
      <c r="AA455" s="31">
        <f t="shared" si="106"/>
        <v>-4.7432919132565407E-2</v>
      </c>
    </row>
    <row r="456" spans="1:27" x14ac:dyDescent="0.25">
      <c r="A456" s="6" t="str">
        <f t="shared" si="100"/>
        <v>complete</v>
      </c>
      <c r="C456" s="6" t="str">
        <f t="shared" si="101"/>
        <v>HC169 428</v>
      </c>
      <c r="D456" s="6" t="s">
        <v>422</v>
      </c>
      <c r="E456" s="20">
        <v>428</v>
      </c>
      <c r="F456" s="6" t="s">
        <v>154</v>
      </c>
      <c r="G456" s="6" t="s">
        <v>435</v>
      </c>
      <c r="H456" s="6" t="s">
        <v>979</v>
      </c>
      <c r="I456" s="6" t="s">
        <v>20</v>
      </c>
      <c r="J456" s="29">
        <f>9.78*2</f>
        <v>19.559999999999999</v>
      </c>
      <c r="K456" s="8">
        <f t="shared" si="102"/>
        <v>1.2913688504515826</v>
      </c>
      <c r="L456" s="8">
        <f t="shared" si="103"/>
        <v>7.5786568505947622</v>
      </c>
      <c r="M456" s="8"/>
      <c r="N456" s="8"/>
      <c r="O456" s="8">
        <v>1.74</v>
      </c>
      <c r="P456" s="8">
        <f>0.926+1.078</f>
        <v>2.004</v>
      </c>
      <c r="Q456" s="8"/>
      <c r="R456" s="8"/>
      <c r="S456" s="8">
        <v>2.1469999999999998</v>
      </c>
      <c r="T456" s="8">
        <f>0.773+0.92+0.951</f>
        <v>2.6440000000000001</v>
      </c>
      <c r="U456" s="8"/>
      <c r="V456" s="8">
        <f t="shared" si="107"/>
        <v>1.1517241379310346</v>
      </c>
      <c r="W456" s="8"/>
      <c r="X456" s="8">
        <f>T456/S456</f>
        <v>1.2314857941313462</v>
      </c>
      <c r="Y456" s="31">
        <f t="shared" si="104"/>
        <v>-7.6132304475406878E-2</v>
      </c>
      <c r="Z456" s="31" t="str">
        <f t="shared" si="105"/>
        <v/>
      </c>
      <c r="AA456" s="31">
        <f t="shared" si="106"/>
        <v>-7.6132304475406878E-2</v>
      </c>
    </row>
    <row r="457" spans="1:27" x14ac:dyDescent="0.25">
      <c r="A457" s="6" t="str">
        <f t="shared" si="100"/>
        <v>complete</v>
      </c>
      <c r="C457" s="6" t="str">
        <f t="shared" si="101"/>
        <v>HC169 428</v>
      </c>
      <c r="D457" s="6" t="s">
        <v>422</v>
      </c>
      <c r="E457" s="20">
        <v>428</v>
      </c>
      <c r="F457" s="6" t="s">
        <v>154</v>
      </c>
      <c r="G457" s="6" t="s">
        <v>431</v>
      </c>
      <c r="H457" s="6" t="s">
        <v>979</v>
      </c>
      <c r="I457" s="6" t="s">
        <v>20</v>
      </c>
      <c r="J457" s="29">
        <v>43.17313</v>
      </c>
      <c r="K457" s="8">
        <f t="shared" si="102"/>
        <v>1.6352135356252704</v>
      </c>
      <c r="L457" s="8">
        <f t="shared" si="103"/>
        <v>8.3703884969809259</v>
      </c>
      <c r="M457" s="8"/>
      <c r="N457" s="8"/>
      <c r="O457" s="8">
        <v>4.8479999999999999</v>
      </c>
      <c r="P457" s="8">
        <f>1.308+0.501+1.621+0.238+1.019</f>
        <v>4.6870000000000003</v>
      </c>
      <c r="Q457" s="8"/>
      <c r="R457" s="8"/>
      <c r="S457" s="8">
        <v>5.3780000000000001</v>
      </c>
      <c r="T457" s="8">
        <f>0.989+1.575+1.638+1.057</f>
        <v>5.2590000000000003</v>
      </c>
      <c r="U457" s="8"/>
      <c r="V457" s="8">
        <f t="shared" si="107"/>
        <v>0.96679042904290435</v>
      </c>
      <c r="W457" s="8"/>
      <c r="X457" s="8">
        <f>T457/S457</f>
        <v>0.97787281517292679</v>
      </c>
      <c r="Y457" s="31">
        <f t="shared" si="104"/>
        <v>1.2185589920600549E-2</v>
      </c>
      <c r="Z457" s="31" t="str">
        <f t="shared" si="105"/>
        <v/>
      </c>
      <c r="AA457" s="31">
        <f t="shared" si="106"/>
        <v>1.2185589920600549E-2</v>
      </c>
    </row>
    <row r="458" spans="1:27" x14ac:dyDescent="0.25">
      <c r="A458" s="6" t="str">
        <f t="shared" si="100"/>
        <v>complete</v>
      </c>
      <c r="C458" s="6" t="str">
        <f t="shared" si="101"/>
        <v>HC169 428</v>
      </c>
      <c r="D458" s="6" t="s">
        <v>422</v>
      </c>
      <c r="E458" s="20">
        <v>428</v>
      </c>
      <c r="F458" s="6" t="s">
        <v>154</v>
      </c>
      <c r="G458" s="6" t="s">
        <v>436</v>
      </c>
      <c r="H458" s="6" t="s">
        <v>979</v>
      </c>
      <c r="I458" s="8" t="s">
        <v>20</v>
      </c>
      <c r="J458" s="29">
        <v>36.852269999999997</v>
      </c>
      <c r="K458" s="8">
        <f t="shared" si="102"/>
        <v>1.5664642443826007</v>
      </c>
      <c r="L458" s="8">
        <f t="shared" si="103"/>
        <v>8.2120874038116494</v>
      </c>
      <c r="M458" s="8">
        <v>3.39</v>
      </c>
      <c r="N458" s="8">
        <f>0.55+1.164+0.681+1.221</f>
        <v>3.6160000000000001</v>
      </c>
      <c r="O458" s="8">
        <v>6.7110000000000003</v>
      </c>
      <c r="P458" s="8">
        <f>0.851+1.476+1.59+1.685+1.164</f>
        <v>6.766</v>
      </c>
      <c r="Q458" s="8">
        <v>3.6360000000000001</v>
      </c>
      <c r="R458" s="8">
        <f>1.06+1.069+1.06+1.088+0.843</f>
        <v>5.12</v>
      </c>
      <c r="S458" s="8"/>
      <c r="T458" s="8"/>
      <c r="U458" s="8">
        <f>N458/M458</f>
        <v>1.0666666666666667</v>
      </c>
      <c r="V458" s="8">
        <f t="shared" si="107"/>
        <v>1.0081954999254954</v>
      </c>
      <c r="W458" s="8">
        <f>R458/Q458</f>
        <v>1.4081408140814082</v>
      </c>
      <c r="X458" s="8"/>
      <c r="Y458" s="31">
        <f t="shared" si="104"/>
        <v>-6.4832591397927797E-2</v>
      </c>
      <c r="Z458" s="31" t="str">
        <f t="shared" si="105"/>
        <v/>
      </c>
      <c r="AA458" s="31">
        <f t="shared" si="106"/>
        <v>-6.4832591397927797E-2</v>
      </c>
    </row>
    <row r="459" spans="1:27" x14ac:dyDescent="0.25">
      <c r="A459" s="6" t="str">
        <f t="shared" si="100"/>
        <v>complete</v>
      </c>
      <c r="B459" s="6" t="s">
        <v>438</v>
      </c>
      <c r="C459" s="6" t="str">
        <f t="shared" si="101"/>
        <v>HC199 428</v>
      </c>
      <c r="D459" s="6" t="s">
        <v>437</v>
      </c>
      <c r="E459" s="20">
        <v>428</v>
      </c>
      <c r="F459" s="6" t="s">
        <v>154</v>
      </c>
      <c r="G459" s="6" t="s">
        <v>439</v>
      </c>
      <c r="H459" s="6" t="s">
        <v>979</v>
      </c>
      <c r="I459" s="6" t="s">
        <v>20</v>
      </c>
      <c r="J459" s="29">
        <v>46.554000000000002</v>
      </c>
      <c r="K459" s="8">
        <f t="shared" si="102"/>
        <v>1.6679570022517292</v>
      </c>
      <c r="L459" s="8">
        <f t="shared" si="103"/>
        <v>8.4457831151279592</v>
      </c>
      <c r="M459" s="8"/>
      <c r="N459" s="8"/>
      <c r="O459" s="8">
        <v>5.2770000000000001</v>
      </c>
      <c r="P459" s="8">
        <f>1.385+2.543+1.457+0.232</f>
        <v>5.617</v>
      </c>
      <c r="Q459" s="8"/>
      <c r="R459" s="8"/>
      <c r="S459" s="8">
        <v>6.9429999999999996</v>
      </c>
      <c r="T459" s="8">
        <f>1.262+3.114+0.512+1.482+0.247</f>
        <v>6.617</v>
      </c>
      <c r="U459" s="8"/>
      <c r="V459" s="8">
        <f t="shared" si="107"/>
        <v>1.0644305476596552</v>
      </c>
      <c r="W459" s="8"/>
      <c r="X459" s="8">
        <f>T459/S459</f>
        <v>0.95304623361659235</v>
      </c>
      <c r="Y459" s="31">
        <f t="shared" si="104"/>
        <v>-3.7785495533593826E-3</v>
      </c>
      <c r="Z459" s="31" t="str">
        <f t="shared" si="105"/>
        <v/>
      </c>
      <c r="AA459" s="31">
        <f t="shared" si="106"/>
        <v>-3.7785495533593826E-3</v>
      </c>
    </row>
    <row r="460" spans="1:27" x14ac:dyDescent="0.25">
      <c r="A460" s="6" t="str">
        <f t="shared" si="100"/>
        <v>complete</v>
      </c>
      <c r="B460" s="6" t="s">
        <v>438</v>
      </c>
      <c r="C460" s="6" t="str">
        <f t="shared" si="101"/>
        <v>HC199 428</v>
      </c>
      <c r="D460" s="6" t="s">
        <v>437</v>
      </c>
      <c r="E460" s="20">
        <v>428</v>
      </c>
      <c r="F460" s="6" t="s">
        <v>154</v>
      </c>
      <c r="G460" s="6" t="s">
        <v>442</v>
      </c>
      <c r="H460" s="6" t="s">
        <v>979</v>
      </c>
      <c r="I460" s="6" t="s">
        <v>20</v>
      </c>
      <c r="J460" s="29">
        <f>7.884*2</f>
        <v>15.768000000000001</v>
      </c>
      <c r="K460" s="8">
        <f t="shared" si="102"/>
        <v>1.1977766112713868</v>
      </c>
      <c r="L460" s="8">
        <f t="shared" si="103"/>
        <v>7.3631527558385104</v>
      </c>
      <c r="M460" s="8"/>
      <c r="N460" s="8"/>
      <c r="O460" s="8">
        <v>1.389</v>
      </c>
      <c r="P460" s="8">
        <f>0.66+1.035+0.951</f>
        <v>2.6459999999999999</v>
      </c>
      <c r="Q460" s="8"/>
      <c r="R460" s="8"/>
      <c r="S460" s="8">
        <v>2.1190000000000002</v>
      </c>
      <c r="T460" s="8">
        <f>0.609+1.534+1.313+0.365+0.271+0.137</f>
        <v>4.2289999999999992</v>
      </c>
      <c r="U460" s="8"/>
      <c r="V460" s="8">
        <f t="shared" si="107"/>
        <v>1.9049676025917925</v>
      </c>
      <c r="W460" s="8"/>
      <c r="X460" s="8">
        <f>T460/S460</f>
        <v>1.995752713544124</v>
      </c>
      <c r="Y460" s="31">
        <f t="shared" si="104"/>
        <v>-0.29011481660287158</v>
      </c>
      <c r="Z460" s="31" t="str">
        <f t="shared" si="105"/>
        <v/>
      </c>
      <c r="AA460" s="31">
        <f t="shared" si="106"/>
        <v>-0.29011481660287158</v>
      </c>
    </row>
    <row r="461" spans="1:27" x14ac:dyDescent="0.25">
      <c r="A461" s="6" t="str">
        <f t="shared" si="100"/>
        <v>complete</v>
      </c>
      <c r="B461" s="6" t="s">
        <v>438</v>
      </c>
      <c r="C461" s="6" t="str">
        <f t="shared" si="101"/>
        <v>HC199 428</v>
      </c>
      <c r="D461" s="6" t="s">
        <v>437</v>
      </c>
      <c r="E461" s="20">
        <v>428</v>
      </c>
      <c r="F461" s="6" t="s">
        <v>154</v>
      </c>
      <c r="G461" s="6" t="s">
        <v>443</v>
      </c>
      <c r="H461" s="6" t="s">
        <v>979</v>
      </c>
      <c r="I461" s="6" t="s">
        <v>20</v>
      </c>
      <c r="J461" s="29">
        <v>30.154</v>
      </c>
      <c r="K461" s="8">
        <f t="shared" si="102"/>
        <v>1.479344930496141</v>
      </c>
      <c r="L461" s="8">
        <f t="shared" si="103"/>
        <v>8.011487770344818</v>
      </c>
      <c r="M461" s="8"/>
      <c r="N461" s="8"/>
      <c r="O461" s="8">
        <v>3.7</v>
      </c>
      <c r="P461" s="8">
        <f>1.09+1.168+1.34</f>
        <v>3.5979999999999999</v>
      </c>
      <c r="Q461" s="8"/>
      <c r="R461" s="8"/>
      <c r="S461" s="8">
        <v>4.9619999999999997</v>
      </c>
      <c r="T461" s="8">
        <f>1.882+0.513+2.08+0.263</f>
        <v>4.7379999999999995</v>
      </c>
      <c r="U461" s="8"/>
      <c r="V461" s="8">
        <f t="shared" si="107"/>
        <v>0.97243243243243238</v>
      </c>
      <c r="W461" s="8"/>
      <c r="X461" s="8">
        <f>T461/S461</f>
        <v>0.95485691253526794</v>
      </c>
      <c r="Y461" s="31">
        <f t="shared" si="104"/>
        <v>1.6083075253678067E-2</v>
      </c>
      <c r="Z461" s="31" t="str">
        <f t="shared" si="105"/>
        <v/>
      </c>
      <c r="AA461" s="31">
        <f t="shared" si="106"/>
        <v>1.6083075253678067E-2</v>
      </c>
    </row>
    <row r="462" spans="1:27" x14ac:dyDescent="0.25">
      <c r="A462" s="6" t="str">
        <f t="shared" si="100"/>
        <v>complete</v>
      </c>
      <c r="B462" s="6" t="s">
        <v>438</v>
      </c>
      <c r="C462" s="6" t="str">
        <f t="shared" si="101"/>
        <v>HC199 428</v>
      </c>
      <c r="D462" s="6" t="s">
        <v>437</v>
      </c>
      <c r="E462" s="20">
        <v>428</v>
      </c>
      <c r="F462" s="6" t="s">
        <v>154</v>
      </c>
      <c r="G462" s="6" t="s">
        <v>444</v>
      </c>
      <c r="H462" s="6" t="s">
        <v>979</v>
      </c>
      <c r="I462" s="6" t="s">
        <v>20</v>
      </c>
      <c r="J462" s="29">
        <v>53.792000000000002</v>
      </c>
      <c r="K462" s="8">
        <f t="shared" si="102"/>
        <v>1.730717691759377</v>
      </c>
      <c r="L462" s="8">
        <f t="shared" si="103"/>
        <v>8.5902949432142961</v>
      </c>
      <c r="M462" s="8"/>
      <c r="N462" s="8"/>
      <c r="O462" s="8">
        <v>6.8410000000000002</v>
      </c>
      <c r="P462" s="8">
        <f>1.214+2.263+0.323+2.079+0.849</f>
        <v>6.7279999999999998</v>
      </c>
      <c r="Q462" s="8"/>
      <c r="R462" s="8"/>
      <c r="S462" s="8">
        <v>7.7220000000000004</v>
      </c>
      <c r="T462" s="8">
        <f>1.53+2.753+2.171</f>
        <v>6.4540000000000006</v>
      </c>
      <c r="U462" s="8"/>
      <c r="V462" s="8">
        <f t="shared" si="107"/>
        <v>0.98348194708375958</v>
      </c>
      <c r="W462" s="8"/>
      <c r="X462" s="8">
        <f>T462/S462</f>
        <v>0.83579383579383582</v>
      </c>
      <c r="Y462" s="31">
        <f t="shared" si="104"/>
        <v>4.1131457181322086E-2</v>
      </c>
      <c r="Z462" s="31" t="str">
        <f t="shared" si="105"/>
        <v/>
      </c>
      <c r="AA462" s="31">
        <f t="shared" si="106"/>
        <v>4.1131457181322086E-2</v>
      </c>
    </row>
    <row r="463" spans="1:27" x14ac:dyDescent="0.25">
      <c r="A463" s="6" t="str">
        <f t="shared" si="100"/>
        <v>fragment</v>
      </c>
      <c r="B463" s="6" t="s">
        <v>438</v>
      </c>
      <c r="C463" s="6" t="str">
        <f t="shared" si="101"/>
        <v>HC199 428</v>
      </c>
      <c r="D463" s="6" t="s">
        <v>437</v>
      </c>
      <c r="E463" s="20">
        <v>428</v>
      </c>
      <c r="F463" s="6" t="s">
        <v>154</v>
      </c>
      <c r="G463" s="6" t="s">
        <v>445</v>
      </c>
      <c r="H463" s="6" t="s">
        <v>979</v>
      </c>
      <c r="I463" s="6" t="s">
        <v>20</v>
      </c>
      <c r="J463" s="29"/>
      <c r="K463" s="8" t="str">
        <f t="shared" si="102"/>
        <v/>
      </c>
      <c r="L463" s="8" t="str">
        <f t="shared" si="103"/>
        <v/>
      </c>
      <c r="M463" s="8"/>
      <c r="N463" s="8"/>
      <c r="O463" s="8">
        <v>3.952</v>
      </c>
      <c r="P463" s="8">
        <f>0.949+1.947+0.886</f>
        <v>3.782</v>
      </c>
      <c r="Q463" s="8"/>
      <c r="R463" s="8"/>
      <c r="S463" s="8"/>
      <c r="T463" s="8"/>
      <c r="U463" s="8"/>
      <c r="V463" s="8">
        <f t="shared" si="107"/>
        <v>0.95698380566801622</v>
      </c>
      <c r="W463" s="8"/>
      <c r="X463" s="8"/>
      <c r="Y463" s="31">
        <f t="shared" si="104"/>
        <v>1.9095411406569594E-2</v>
      </c>
      <c r="Z463" s="31">
        <f t="shared" si="105"/>
        <v>1.9095411406569594E-2</v>
      </c>
      <c r="AA463" s="31" t="str">
        <f t="shared" si="106"/>
        <v/>
      </c>
    </row>
    <row r="464" spans="1:27" x14ac:dyDescent="0.25">
      <c r="A464" s="6" t="str">
        <f t="shared" si="100"/>
        <v>fragment</v>
      </c>
      <c r="B464" s="6" t="s">
        <v>438</v>
      </c>
      <c r="C464" s="6" t="str">
        <f t="shared" si="101"/>
        <v>HC199 428</v>
      </c>
      <c r="D464" s="6" t="s">
        <v>437</v>
      </c>
      <c r="E464" s="20">
        <v>428</v>
      </c>
      <c r="F464" s="6" t="s">
        <v>154</v>
      </c>
      <c r="G464" s="6" t="s">
        <v>446</v>
      </c>
      <c r="H464" s="6" t="s">
        <v>979</v>
      </c>
      <c r="I464" s="6" t="s">
        <v>20</v>
      </c>
      <c r="J464" s="29"/>
      <c r="K464" s="8" t="str">
        <f t="shared" si="102"/>
        <v/>
      </c>
      <c r="L464" s="8" t="str">
        <f t="shared" si="103"/>
        <v/>
      </c>
      <c r="M464" s="8"/>
      <c r="N464" s="8"/>
      <c r="O464" s="8">
        <v>4.4850000000000003</v>
      </c>
      <c r="P464" s="8">
        <f>0.974+1.695+1.452+1.004</f>
        <v>5.125</v>
      </c>
      <c r="Q464" s="8"/>
      <c r="R464" s="8"/>
      <c r="S464" s="8"/>
      <c r="T464" s="8"/>
      <c r="U464" s="8"/>
      <c r="V464" s="8">
        <f t="shared" si="107"/>
        <v>1.1426978818283164</v>
      </c>
      <c r="W464" s="8"/>
      <c r="X464" s="8"/>
      <c r="Y464" s="31">
        <f t="shared" si="104"/>
        <v>-5.7931422347680964E-2</v>
      </c>
      <c r="Z464" s="31">
        <f t="shared" si="105"/>
        <v>-5.7931422347680964E-2</v>
      </c>
      <c r="AA464" s="31" t="str">
        <f t="shared" si="106"/>
        <v/>
      </c>
    </row>
    <row r="465" spans="1:27" x14ac:dyDescent="0.25">
      <c r="A465" s="6" t="str">
        <f t="shared" si="100"/>
        <v>fragment</v>
      </c>
      <c r="B465" s="6" t="s">
        <v>438</v>
      </c>
      <c r="C465" s="6" t="str">
        <f t="shared" si="101"/>
        <v>HC199 428</v>
      </c>
      <c r="D465" s="6" t="s">
        <v>437</v>
      </c>
      <c r="E465" s="20">
        <v>428</v>
      </c>
      <c r="F465" s="6" t="s">
        <v>154</v>
      </c>
      <c r="G465" s="6" t="s">
        <v>447</v>
      </c>
      <c r="H465" s="6" t="s">
        <v>979</v>
      </c>
      <c r="I465" s="6" t="s">
        <v>20</v>
      </c>
      <c r="J465" s="29"/>
      <c r="K465" s="8" t="str">
        <f t="shared" si="102"/>
        <v/>
      </c>
      <c r="L465" s="8" t="str">
        <f t="shared" si="103"/>
        <v/>
      </c>
      <c r="M465" s="8"/>
      <c r="N465" s="8"/>
      <c r="O465" s="8">
        <v>5.2629999999999999</v>
      </c>
      <c r="P465" s="8">
        <f>1.329+2.18+0.384+1.772</f>
        <v>5.665</v>
      </c>
      <c r="Q465" s="8"/>
      <c r="R465" s="8"/>
      <c r="S465" s="8">
        <v>7.5880000000000001</v>
      </c>
      <c r="T465" s="8">
        <f>1.329+2.45+1.322</f>
        <v>5.101</v>
      </c>
      <c r="U465" s="8"/>
      <c r="V465" s="8">
        <f t="shared" si="107"/>
        <v>1.076382291468744</v>
      </c>
      <c r="W465" s="8"/>
      <c r="X465" s="8">
        <f>T465/S465</f>
        <v>0.67224565102793887</v>
      </c>
      <c r="Y465" s="31">
        <f t="shared" si="104"/>
        <v>5.8332581673851379E-2</v>
      </c>
      <c r="Z465" s="31">
        <f t="shared" si="105"/>
        <v>5.8332581673851379E-2</v>
      </c>
      <c r="AA465" s="31" t="str">
        <f t="shared" si="106"/>
        <v/>
      </c>
    </row>
    <row r="466" spans="1:27" x14ac:dyDescent="0.25">
      <c r="A466" s="6" t="str">
        <f t="shared" si="100"/>
        <v>complete</v>
      </c>
      <c r="B466" s="6" t="s">
        <v>438</v>
      </c>
      <c r="C466" s="6" t="str">
        <f t="shared" si="101"/>
        <v>HC199 428</v>
      </c>
      <c r="D466" s="6" t="s">
        <v>437</v>
      </c>
      <c r="E466" s="20">
        <v>428</v>
      </c>
      <c r="F466" s="6" t="s">
        <v>154</v>
      </c>
      <c r="G466" s="6" t="s">
        <v>448</v>
      </c>
      <c r="H466" s="6" t="s">
        <v>979</v>
      </c>
      <c r="I466" s="6" t="s">
        <v>20</v>
      </c>
      <c r="J466" s="29">
        <f>12.556*2</f>
        <v>25.111999999999998</v>
      </c>
      <c r="K466" s="8">
        <f t="shared" si="102"/>
        <v>1.3998813026919861</v>
      </c>
      <c r="L466" s="8">
        <f t="shared" si="103"/>
        <v>7.8285160055277441</v>
      </c>
      <c r="M466" s="8"/>
      <c r="N466" s="8"/>
      <c r="O466" s="8">
        <v>2.6110000000000002</v>
      </c>
      <c r="P466" s="8">
        <f>1.472+1.04+0.903</f>
        <v>3.415</v>
      </c>
      <c r="Q466" s="8"/>
      <c r="R466" s="8"/>
      <c r="S466" s="8"/>
      <c r="T466" s="8"/>
      <c r="U466" s="8"/>
      <c r="V466" s="8">
        <f t="shared" si="107"/>
        <v>1.3079279969360398</v>
      </c>
      <c r="W466" s="8"/>
      <c r="X466" s="8"/>
      <c r="Y466" s="31">
        <f t="shared" si="104"/>
        <v>-0.1165838361946069</v>
      </c>
      <c r="Z466" s="31" t="str">
        <f t="shared" si="105"/>
        <v/>
      </c>
      <c r="AA466" s="31">
        <f t="shared" si="106"/>
        <v>-0.1165838361946069</v>
      </c>
    </row>
    <row r="467" spans="1:27" x14ac:dyDescent="0.25">
      <c r="A467" s="6" t="str">
        <f t="shared" si="100"/>
        <v>complete</v>
      </c>
      <c r="B467" s="6" t="s">
        <v>438</v>
      </c>
      <c r="C467" s="6" t="str">
        <f t="shared" si="101"/>
        <v>HC199 428</v>
      </c>
      <c r="D467" s="6" t="s">
        <v>437</v>
      </c>
      <c r="E467" s="20">
        <v>428</v>
      </c>
      <c r="F467" s="6" t="s">
        <v>154</v>
      </c>
      <c r="G467" s="6" t="s">
        <v>449</v>
      </c>
      <c r="H467" s="6" t="s">
        <v>979</v>
      </c>
      <c r="I467" s="6" t="s">
        <v>20</v>
      </c>
      <c r="J467" s="29">
        <v>44.573</v>
      </c>
      <c r="K467" s="8">
        <f t="shared" si="102"/>
        <v>1.6490718653987013</v>
      </c>
      <c r="L467" s="8">
        <f t="shared" si="103"/>
        <v>8.4022984805310248</v>
      </c>
      <c r="M467" s="8"/>
      <c r="N467" s="8"/>
      <c r="O467" s="8">
        <v>4.3150000000000004</v>
      </c>
      <c r="P467" s="8">
        <f>1.087+1.633+1.25</f>
        <v>3.9699999999999998</v>
      </c>
      <c r="Q467" s="8"/>
      <c r="R467" s="8"/>
      <c r="S467" s="8">
        <v>6.29</v>
      </c>
      <c r="T467" s="8">
        <f>1.206+1.604+2.09+1.253</f>
        <v>6.1530000000000005</v>
      </c>
      <c r="U467" s="8"/>
      <c r="V467" s="8">
        <f t="shared" si="107"/>
        <v>0.92004634994206247</v>
      </c>
      <c r="W467" s="8"/>
      <c r="X467" s="8">
        <f>T467/S467</f>
        <v>0.97821939586645479</v>
      </c>
      <c r="Y467" s="31">
        <f t="shared" si="104"/>
        <v>2.2672984696331326E-2</v>
      </c>
      <c r="Z467" s="31" t="str">
        <f t="shared" si="105"/>
        <v/>
      </c>
      <c r="AA467" s="31">
        <f t="shared" si="106"/>
        <v>2.2672984696331326E-2</v>
      </c>
    </row>
    <row r="468" spans="1:27" x14ac:dyDescent="0.25">
      <c r="A468" s="6" t="str">
        <f t="shared" si="100"/>
        <v>fragment</v>
      </c>
      <c r="B468" s="6" t="s">
        <v>438</v>
      </c>
      <c r="C468" s="6" t="str">
        <f t="shared" si="101"/>
        <v>HC199 428</v>
      </c>
      <c r="D468" s="6" t="s">
        <v>437</v>
      </c>
      <c r="E468" s="20">
        <v>428</v>
      </c>
      <c r="F468" s="6" t="s">
        <v>154</v>
      </c>
      <c r="G468" s="6" t="s">
        <v>450</v>
      </c>
      <c r="H468" s="6" t="s">
        <v>979</v>
      </c>
      <c r="I468" s="6" t="s">
        <v>20</v>
      </c>
      <c r="J468" s="29"/>
      <c r="K468" s="8" t="str">
        <f t="shared" si="102"/>
        <v/>
      </c>
      <c r="L468" s="8" t="str">
        <f t="shared" si="103"/>
        <v/>
      </c>
      <c r="M468" s="8"/>
      <c r="N468" s="8"/>
      <c r="O468" s="8">
        <v>4.72</v>
      </c>
      <c r="P468" s="8">
        <f>0.942+1.515+1.498+0.998</f>
        <v>4.9530000000000003</v>
      </c>
      <c r="Q468" s="8">
        <v>2.6859999999999999</v>
      </c>
      <c r="R468" s="8">
        <f>0.923+1.515+0.198+0.787</f>
        <v>3.4229999999999996</v>
      </c>
      <c r="S468" s="8"/>
      <c r="T468" s="8"/>
      <c r="U468" s="8"/>
      <c r="V468" s="8">
        <f t="shared" si="107"/>
        <v>1.049364406779661</v>
      </c>
      <c r="W468" s="8">
        <f>R468/Q468</f>
        <v>1.274385703648548</v>
      </c>
      <c r="X468" s="8"/>
      <c r="Y468" s="31">
        <f t="shared" si="104"/>
        <v>-6.5159427754321625E-2</v>
      </c>
      <c r="Z468" s="31">
        <f t="shared" si="105"/>
        <v>-6.5159427754321625E-2</v>
      </c>
      <c r="AA468" s="31" t="str">
        <f t="shared" si="106"/>
        <v/>
      </c>
    </row>
    <row r="469" spans="1:27" x14ac:dyDescent="0.25">
      <c r="A469" s="6" t="str">
        <f t="shared" si="100"/>
        <v>fragment</v>
      </c>
      <c r="B469" s="6" t="s">
        <v>438</v>
      </c>
      <c r="C469" s="6" t="str">
        <f t="shared" si="101"/>
        <v>HC199 428</v>
      </c>
      <c r="D469" s="6" t="s">
        <v>437</v>
      </c>
      <c r="E469" s="20">
        <v>428</v>
      </c>
      <c r="F469" s="6" t="s">
        <v>154</v>
      </c>
      <c r="G469" s="6" t="s">
        <v>452</v>
      </c>
      <c r="H469" s="6" t="s">
        <v>979</v>
      </c>
      <c r="I469" s="6" t="s">
        <v>20</v>
      </c>
      <c r="J469" s="29"/>
      <c r="K469" s="8" t="str">
        <f t="shared" si="102"/>
        <v/>
      </c>
      <c r="L469" s="8" t="str">
        <f t="shared" si="103"/>
        <v/>
      </c>
      <c r="M469" s="8"/>
      <c r="N469" s="8"/>
      <c r="O469" s="8">
        <v>4.3120000000000003</v>
      </c>
      <c r="P469" s="8">
        <f>1.238+1.065+2.025</f>
        <v>4.3279999999999994</v>
      </c>
      <c r="Q469" s="8"/>
      <c r="R469" s="8"/>
      <c r="S469" s="8">
        <v>4.806</v>
      </c>
      <c r="T469" s="8">
        <f>0.702+1.981+0.396+1.745+0.931</f>
        <v>5.7549999999999999</v>
      </c>
      <c r="U469" s="8"/>
      <c r="V469" s="8">
        <f t="shared" si="107"/>
        <v>1.0037105751391464</v>
      </c>
      <c r="W469" s="8"/>
      <c r="X469" s="8">
        <f>T469/S469</f>
        <v>1.1974615064502705</v>
      </c>
      <c r="Y469" s="31">
        <f t="shared" si="104"/>
        <v>-4.1624000166691558E-2</v>
      </c>
      <c r="Z469" s="31">
        <f t="shared" si="105"/>
        <v>-4.1624000166691558E-2</v>
      </c>
      <c r="AA469" s="31" t="str">
        <f t="shared" si="106"/>
        <v/>
      </c>
    </row>
    <row r="470" spans="1:27" x14ac:dyDescent="0.25">
      <c r="A470" s="6" t="str">
        <f t="shared" si="100"/>
        <v>fragment</v>
      </c>
      <c r="B470" s="6" t="s">
        <v>438</v>
      </c>
      <c r="C470" s="6" t="str">
        <f t="shared" si="101"/>
        <v>HC199 428</v>
      </c>
      <c r="D470" s="6" t="s">
        <v>437</v>
      </c>
      <c r="E470" s="20">
        <v>428</v>
      </c>
      <c r="F470" s="6" t="s">
        <v>154</v>
      </c>
      <c r="G470" s="6" t="s">
        <v>454</v>
      </c>
      <c r="H470" s="6" t="s">
        <v>979</v>
      </c>
      <c r="I470" s="6" t="s">
        <v>20</v>
      </c>
      <c r="J470" s="29"/>
      <c r="K470" s="8" t="str">
        <f t="shared" si="102"/>
        <v/>
      </c>
      <c r="L470" s="8" t="str">
        <f t="shared" si="103"/>
        <v/>
      </c>
      <c r="M470" s="8"/>
      <c r="N470" s="8"/>
      <c r="O470" s="8">
        <v>3.58</v>
      </c>
      <c r="P470" s="8">
        <f>0.897+1.389+0.788</f>
        <v>3.0739999999999998</v>
      </c>
      <c r="Q470" s="8"/>
      <c r="R470" s="8"/>
      <c r="S470" s="8">
        <v>2.8959999999999999</v>
      </c>
      <c r="T470" s="8">
        <f>1.056+1.08+0.71</f>
        <v>2.8460000000000001</v>
      </c>
      <c r="U470" s="8"/>
      <c r="V470" s="8">
        <f t="shared" si="107"/>
        <v>0.85865921787709487</v>
      </c>
      <c r="W470" s="8"/>
      <c r="X470" s="8">
        <f>T470/S470</f>
        <v>0.98273480662983437</v>
      </c>
      <c r="Y470" s="31">
        <f t="shared" si="104"/>
        <v>3.5883266171789642E-2</v>
      </c>
      <c r="Z470" s="31">
        <f t="shared" si="105"/>
        <v>3.5883266171789642E-2</v>
      </c>
      <c r="AA470" s="31" t="str">
        <f t="shared" si="106"/>
        <v/>
      </c>
    </row>
    <row r="471" spans="1:27" x14ac:dyDescent="0.25">
      <c r="A471" s="6" t="str">
        <f t="shared" si="100"/>
        <v>fragment</v>
      </c>
      <c r="B471" s="6" t="s">
        <v>438</v>
      </c>
      <c r="C471" s="6" t="str">
        <f t="shared" si="101"/>
        <v>HC199 428</v>
      </c>
      <c r="D471" s="6" t="s">
        <v>437</v>
      </c>
      <c r="E471" s="20">
        <v>428</v>
      </c>
      <c r="F471" s="6" t="s">
        <v>154</v>
      </c>
      <c r="G471" s="6" t="s">
        <v>455</v>
      </c>
      <c r="H471" s="6" t="s">
        <v>979</v>
      </c>
      <c r="I471" s="6" t="s">
        <v>20</v>
      </c>
      <c r="J471" s="29"/>
      <c r="K471" s="8" t="str">
        <f t="shared" si="102"/>
        <v/>
      </c>
      <c r="L471" s="8" t="str">
        <f t="shared" si="103"/>
        <v/>
      </c>
      <c r="M471" s="8"/>
      <c r="N471" s="8"/>
      <c r="O471" s="8">
        <v>0.86199999999999999</v>
      </c>
      <c r="P471" s="8">
        <f>0.538+0.548</f>
        <v>1.0860000000000001</v>
      </c>
      <c r="Q471" s="8">
        <v>1.641</v>
      </c>
      <c r="R471" s="8">
        <f>0.764+0.851</f>
        <v>1.615</v>
      </c>
      <c r="S471" s="8">
        <v>2.3719999999999999</v>
      </c>
      <c r="T471" s="8">
        <f>0.948+0.667</f>
        <v>1.615</v>
      </c>
      <c r="U471" s="8"/>
      <c r="V471" s="8">
        <f t="shared" si="107"/>
        <v>1.2598607888631093</v>
      </c>
      <c r="W471" s="8">
        <f>R471/Q471</f>
        <v>0.98415600243753809</v>
      </c>
      <c r="X471" s="8">
        <f>T471/S471</f>
        <v>0.68086003372681281</v>
      </c>
      <c r="Y471" s="31">
        <f t="shared" si="104"/>
        <v>1.101367330565611E-2</v>
      </c>
      <c r="Z471" s="31">
        <f t="shared" si="105"/>
        <v>1.101367330565611E-2</v>
      </c>
      <c r="AA471" s="31" t="str">
        <f t="shared" si="106"/>
        <v/>
      </c>
    </row>
    <row r="472" spans="1:27" x14ac:dyDescent="0.25">
      <c r="A472" s="6" t="str">
        <f t="shared" si="100"/>
        <v>complete</v>
      </c>
      <c r="B472" s="6" t="s">
        <v>438</v>
      </c>
      <c r="C472" s="6" t="str">
        <f t="shared" si="101"/>
        <v>HC199 428</v>
      </c>
      <c r="D472" s="6" t="s">
        <v>437</v>
      </c>
      <c r="E472" s="20">
        <v>428</v>
      </c>
      <c r="F472" s="6" t="s">
        <v>154</v>
      </c>
      <c r="G472" s="6" t="s">
        <v>456</v>
      </c>
      <c r="H472" s="6" t="s">
        <v>979</v>
      </c>
      <c r="I472" s="6" t="s">
        <v>20</v>
      </c>
      <c r="J472" s="29">
        <f>9.211*2</f>
        <v>18.422000000000001</v>
      </c>
      <c r="K472" s="8">
        <f t="shared" si="102"/>
        <v>1.2653367779679177</v>
      </c>
      <c r="L472" s="8">
        <f t="shared" si="103"/>
        <v>7.5187157885541351</v>
      </c>
      <c r="M472" s="8"/>
      <c r="N472" s="8"/>
      <c r="O472" s="8">
        <v>2.48</v>
      </c>
      <c r="P472" s="8">
        <f>1.321+1.183</f>
        <v>2.504</v>
      </c>
      <c r="Q472" s="8"/>
      <c r="R472" s="8"/>
      <c r="S472" s="8"/>
      <c r="T472" s="8"/>
      <c r="U472" s="8"/>
      <c r="V472" s="8">
        <f t="shared" si="107"/>
        <v>1.0096774193548388</v>
      </c>
      <c r="W472" s="8"/>
      <c r="X472" s="8"/>
      <c r="Y472" s="31">
        <f t="shared" si="104"/>
        <v>-4.1826437121758597E-3</v>
      </c>
      <c r="Z472" s="31" t="str">
        <f t="shared" si="105"/>
        <v/>
      </c>
      <c r="AA472" s="31">
        <f t="shared" si="106"/>
        <v>-4.1826437121758597E-3</v>
      </c>
    </row>
    <row r="473" spans="1:27" x14ac:dyDescent="0.25">
      <c r="A473" s="6" t="str">
        <f t="shared" si="100"/>
        <v>complete</v>
      </c>
      <c r="B473" s="6" t="s">
        <v>438</v>
      </c>
      <c r="C473" s="6" t="str">
        <f t="shared" si="101"/>
        <v>HC199 428</v>
      </c>
      <c r="D473" s="6" t="s">
        <v>437</v>
      </c>
      <c r="E473" s="20">
        <v>428</v>
      </c>
      <c r="F473" s="6" t="s">
        <v>154</v>
      </c>
      <c r="G473" s="6" t="s">
        <v>457</v>
      </c>
      <c r="H473" s="6" t="s">
        <v>979</v>
      </c>
      <c r="I473" s="6" t="s">
        <v>20</v>
      </c>
      <c r="J473" s="29">
        <f>8.901*2</f>
        <v>17.802</v>
      </c>
      <c r="K473" s="8">
        <f t="shared" si="102"/>
        <v>1.2504687967004855</v>
      </c>
      <c r="L473" s="8">
        <f t="shared" si="103"/>
        <v>7.4844809965248311</v>
      </c>
      <c r="M473" s="8"/>
      <c r="N473" s="8"/>
      <c r="O473" s="8"/>
      <c r="P473" s="8"/>
      <c r="Q473" s="8">
        <v>0.64300000000000002</v>
      </c>
      <c r="R473" s="8">
        <f>0.619+0.195+0.527+0.475</f>
        <v>1.8160000000000003</v>
      </c>
      <c r="S473" s="8">
        <v>0.82699999999999996</v>
      </c>
      <c r="T473" s="8">
        <f>0.387+0.544</f>
        <v>0.93100000000000005</v>
      </c>
      <c r="U473" s="8"/>
      <c r="V473" s="8"/>
      <c r="W473" s="8">
        <f>R473/Q473</f>
        <v>2.8242612752721623</v>
      </c>
      <c r="X473" s="8">
        <f t="shared" ref="X473:X490" si="108">T473/S473</f>
        <v>1.1257557436517533</v>
      </c>
      <c r="Y473" s="31">
        <f t="shared" si="104"/>
        <v>-0.29556897115458575</v>
      </c>
      <c r="Z473" s="31" t="str">
        <f t="shared" si="105"/>
        <v/>
      </c>
      <c r="AA473" s="31">
        <f t="shared" si="106"/>
        <v>-0.29556897115458575</v>
      </c>
    </row>
    <row r="474" spans="1:27" x14ac:dyDescent="0.25">
      <c r="A474" s="6" t="str">
        <f t="shared" si="100"/>
        <v>complete</v>
      </c>
      <c r="B474" s="6" t="s">
        <v>438</v>
      </c>
      <c r="C474" s="6" t="str">
        <f t="shared" si="101"/>
        <v>HC199 428</v>
      </c>
      <c r="D474" s="6" t="s">
        <v>437</v>
      </c>
      <c r="E474" s="20">
        <v>428</v>
      </c>
      <c r="F474" s="6" t="s">
        <v>154</v>
      </c>
      <c r="G474" s="6" t="s">
        <v>458</v>
      </c>
      <c r="H474" s="6" t="s">
        <v>979</v>
      </c>
      <c r="I474" s="6" t="s">
        <v>20</v>
      </c>
      <c r="J474" s="29">
        <v>30.175000000000001</v>
      </c>
      <c r="K474" s="8">
        <f t="shared" si="102"/>
        <v>1.4796472787693868</v>
      </c>
      <c r="L474" s="8">
        <f t="shared" si="103"/>
        <v>8.0121839529716858</v>
      </c>
      <c r="M474" s="8"/>
      <c r="N474" s="8"/>
      <c r="O474" s="8">
        <v>1.256</v>
      </c>
      <c r="P474" s="8">
        <f>0.723+0.917</f>
        <v>1.6400000000000001</v>
      </c>
      <c r="Q474" s="8"/>
      <c r="R474" s="8"/>
      <c r="S474" s="8">
        <v>1.5649999999999999</v>
      </c>
      <c r="T474" s="8">
        <f>1.044+1.091</f>
        <v>2.1349999999999998</v>
      </c>
      <c r="U474" s="8"/>
      <c r="V474" s="8">
        <f t="shared" ref="V474:V479" si="109">P474/O474</f>
        <v>1.3057324840764333</v>
      </c>
      <c r="W474" s="8"/>
      <c r="X474" s="8">
        <f t="shared" si="108"/>
        <v>1.364217252396166</v>
      </c>
      <c r="Y474" s="31">
        <f t="shared" si="104"/>
        <v>-0.12547308990356634</v>
      </c>
      <c r="Z474" s="31" t="str">
        <f t="shared" si="105"/>
        <v/>
      </c>
      <c r="AA474" s="31">
        <f t="shared" si="106"/>
        <v>-0.12547308990356634</v>
      </c>
    </row>
    <row r="475" spans="1:27" x14ac:dyDescent="0.25">
      <c r="A475" s="6" t="str">
        <f t="shared" si="100"/>
        <v>complete</v>
      </c>
      <c r="B475" s="6" t="s">
        <v>438</v>
      </c>
      <c r="C475" s="6" t="str">
        <f t="shared" si="101"/>
        <v>HC199 428</v>
      </c>
      <c r="D475" s="6" t="s">
        <v>437</v>
      </c>
      <c r="E475" s="20">
        <v>428</v>
      </c>
      <c r="F475" s="6" t="s">
        <v>154</v>
      </c>
      <c r="G475" s="6" t="s">
        <v>459</v>
      </c>
      <c r="H475" s="6" t="s">
        <v>979</v>
      </c>
      <c r="I475" s="6" t="s">
        <v>20</v>
      </c>
      <c r="J475" s="29">
        <f>28.808*2</f>
        <v>57.616</v>
      </c>
      <c r="K475" s="8">
        <f t="shared" si="102"/>
        <v>1.7605431040272101</v>
      </c>
      <c r="L475" s="8">
        <f t="shared" si="103"/>
        <v>8.6589704928946105</v>
      </c>
      <c r="M475" s="8"/>
      <c r="N475" s="8"/>
      <c r="O475" s="8">
        <v>2.7989999999999999</v>
      </c>
      <c r="P475" s="8">
        <f>1.044+1.128+0.992</f>
        <v>3.1639999999999997</v>
      </c>
      <c r="Q475" s="8"/>
      <c r="R475" s="8"/>
      <c r="S475" s="8">
        <v>3.6789999999999998</v>
      </c>
      <c r="T475" s="8">
        <f>0.84+1.531+1.106</f>
        <v>3.4770000000000003</v>
      </c>
      <c r="U475" s="8"/>
      <c r="V475" s="8">
        <f t="shared" si="109"/>
        <v>1.1304037156127187</v>
      </c>
      <c r="W475" s="8"/>
      <c r="X475" s="8">
        <f t="shared" si="108"/>
        <v>0.9450937754824682</v>
      </c>
      <c r="Y475" s="31">
        <f t="shared" si="104"/>
        <v>-1.6092217066613693E-2</v>
      </c>
      <c r="Z475" s="31" t="str">
        <f t="shared" si="105"/>
        <v/>
      </c>
      <c r="AA475" s="31">
        <f t="shared" si="106"/>
        <v>-1.6092217066613693E-2</v>
      </c>
    </row>
    <row r="476" spans="1:27" x14ac:dyDescent="0.25">
      <c r="A476" s="6" t="str">
        <f t="shared" si="100"/>
        <v>complete</v>
      </c>
      <c r="B476" s="6" t="s">
        <v>438</v>
      </c>
      <c r="C476" s="6" t="str">
        <f t="shared" si="101"/>
        <v>HC199 428</v>
      </c>
      <c r="D476" s="6" t="s">
        <v>437</v>
      </c>
      <c r="E476" s="20">
        <v>428</v>
      </c>
      <c r="F476" s="6" t="s">
        <v>154</v>
      </c>
      <c r="G476" s="6" t="s">
        <v>460</v>
      </c>
      <c r="H476" s="6" t="s">
        <v>979</v>
      </c>
      <c r="I476" s="6" t="s">
        <v>20</v>
      </c>
      <c r="J476" s="29">
        <f>39.169*2</f>
        <v>78.337999999999994</v>
      </c>
      <c r="K476" s="8">
        <f t="shared" si="102"/>
        <v>1.893972479644175</v>
      </c>
      <c r="L476" s="8">
        <f t="shared" si="103"/>
        <v>8.9662029841577375</v>
      </c>
      <c r="M476" s="8"/>
      <c r="N476" s="8"/>
      <c r="O476" s="8">
        <v>4.657</v>
      </c>
      <c r="P476" s="8">
        <f>1.093+1.266</f>
        <v>2.359</v>
      </c>
      <c r="Q476" s="8">
        <v>1.077</v>
      </c>
      <c r="R476" s="8">
        <f>0.744+0.649</f>
        <v>1.393</v>
      </c>
      <c r="S476" s="8">
        <v>4.3289999999999997</v>
      </c>
      <c r="T476" s="8">
        <f>1.631+0.18+1.282</f>
        <v>3.093</v>
      </c>
      <c r="U476" s="8"/>
      <c r="V476" s="8">
        <f t="shared" si="109"/>
        <v>0.50654928065278071</v>
      </c>
      <c r="W476" s="8">
        <f>R476/Q476</f>
        <v>1.2934076137418757</v>
      </c>
      <c r="X476" s="8">
        <f t="shared" si="108"/>
        <v>0.7144837144837145</v>
      </c>
      <c r="Y476" s="31">
        <f t="shared" si="104"/>
        <v>7.6679872683183187E-2</v>
      </c>
      <c r="Z476" s="31" t="str">
        <f t="shared" si="105"/>
        <v/>
      </c>
      <c r="AA476" s="31">
        <f t="shared" si="106"/>
        <v>7.6679872683183187E-2</v>
      </c>
    </row>
    <row r="477" spans="1:27" x14ac:dyDescent="0.25">
      <c r="A477" s="6" t="str">
        <f t="shared" si="100"/>
        <v>complete</v>
      </c>
      <c r="B477" s="6" t="s">
        <v>438</v>
      </c>
      <c r="C477" s="6" t="str">
        <f t="shared" si="101"/>
        <v>HC199 428</v>
      </c>
      <c r="D477" s="6" t="s">
        <v>437</v>
      </c>
      <c r="E477" s="20">
        <v>428</v>
      </c>
      <c r="F477" s="6" t="s">
        <v>154</v>
      </c>
      <c r="G477" s="6" t="s">
        <v>461</v>
      </c>
      <c r="H477" s="6" t="s">
        <v>979</v>
      </c>
      <c r="I477" s="6" t="s">
        <v>20</v>
      </c>
      <c r="J477" s="29">
        <f>21.749*2</f>
        <v>43.497999999999998</v>
      </c>
      <c r="K477" s="8">
        <f t="shared" si="102"/>
        <v>1.6384692889332124</v>
      </c>
      <c r="L477" s="8">
        <f t="shared" si="103"/>
        <v>8.3778851460142612</v>
      </c>
      <c r="M477" s="8"/>
      <c r="N477" s="8"/>
      <c r="O477" s="8">
        <v>1.778</v>
      </c>
      <c r="P477" s="8">
        <f>1.097+0.586+0.686</f>
        <v>2.3689999999999998</v>
      </c>
      <c r="Q477" s="8"/>
      <c r="R477" s="8"/>
      <c r="S477" s="8">
        <v>3.2730000000000001</v>
      </c>
      <c r="T477" s="8">
        <f>0.862+1.409+0.841</f>
        <v>3.1120000000000001</v>
      </c>
      <c r="U477" s="8"/>
      <c r="V477" s="8">
        <f t="shared" si="109"/>
        <v>1.3323959505061866</v>
      </c>
      <c r="W477" s="8"/>
      <c r="X477" s="8">
        <f t="shared" si="108"/>
        <v>0.95080965475099299</v>
      </c>
      <c r="Y477" s="31">
        <f t="shared" si="104"/>
        <v>-5.7515026298459261E-2</v>
      </c>
      <c r="Z477" s="31" t="str">
        <f t="shared" si="105"/>
        <v/>
      </c>
      <c r="AA477" s="31">
        <f t="shared" si="106"/>
        <v>-5.7515026298459261E-2</v>
      </c>
    </row>
    <row r="478" spans="1:27" x14ac:dyDescent="0.25">
      <c r="A478" s="6" t="str">
        <f t="shared" si="100"/>
        <v>fragment</v>
      </c>
      <c r="B478" s="6" t="s">
        <v>438</v>
      </c>
      <c r="C478" s="6" t="str">
        <f t="shared" si="101"/>
        <v>HC199 428</v>
      </c>
      <c r="D478" s="6" t="s">
        <v>437</v>
      </c>
      <c r="E478" s="20">
        <v>428</v>
      </c>
      <c r="F478" s="6" t="s">
        <v>154</v>
      </c>
      <c r="G478" s="6" t="s">
        <v>462</v>
      </c>
      <c r="H478" s="6" t="s">
        <v>979</v>
      </c>
      <c r="I478" s="6" t="s">
        <v>20</v>
      </c>
      <c r="J478" s="29"/>
      <c r="K478" s="8" t="str">
        <f t="shared" si="102"/>
        <v/>
      </c>
      <c r="L478" s="8" t="str">
        <f t="shared" si="103"/>
        <v/>
      </c>
      <c r="M478" s="8"/>
      <c r="N478" s="8"/>
      <c r="O478" s="8">
        <v>1.4810000000000001</v>
      </c>
      <c r="P478" s="8">
        <f>1.161+0.14+0.795</f>
        <v>2.0960000000000001</v>
      </c>
      <c r="Q478" s="8"/>
      <c r="R478" s="8"/>
      <c r="S478" s="8">
        <v>2.2599999999999998</v>
      </c>
      <c r="T478" s="8">
        <f>1.291+1.173+0.814</f>
        <v>3.278</v>
      </c>
      <c r="U478" s="8"/>
      <c r="V478" s="8">
        <f t="shared" si="109"/>
        <v>1.4152599594868331</v>
      </c>
      <c r="W478" s="8"/>
      <c r="X478" s="8">
        <f t="shared" si="108"/>
        <v>1.4504424778761063</v>
      </c>
      <c r="Y478" s="31">
        <f t="shared" si="104"/>
        <v>-0.15620109740348295</v>
      </c>
      <c r="Z478" s="31">
        <f t="shared" si="105"/>
        <v>-0.15620109740348295</v>
      </c>
      <c r="AA478" s="31" t="str">
        <f t="shared" si="106"/>
        <v/>
      </c>
    </row>
    <row r="479" spans="1:27" x14ac:dyDescent="0.25">
      <c r="A479" s="6" t="str">
        <f t="shared" si="100"/>
        <v>fragment</v>
      </c>
      <c r="B479" s="6" t="s">
        <v>438</v>
      </c>
      <c r="C479" s="6" t="str">
        <f t="shared" si="101"/>
        <v>HC199 428</v>
      </c>
      <c r="D479" s="6" t="s">
        <v>437</v>
      </c>
      <c r="E479" s="20">
        <v>428</v>
      </c>
      <c r="F479" s="6" t="s">
        <v>154</v>
      </c>
      <c r="G479" s="6" t="s">
        <v>463</v>
      </c>
      <c r="H479" s="6" t="s">
        <v>979</v>
      </c>
      <c r="I479" s="6" t="s">
        <v>20</v>
      </c>
      <c r="J479" s="29"/>
      <c r="K479" s="8" t="str">
        <f t="shared" si="102"/>
        <v/>
      </c>
      <c r="L479" s="8" t="str">
        <f t="shared" si="103"/>
        <v/>
      </c>
      <c r="M479" s="8"/>
      <c r="N479" s="8"/>
      <c r="O479" s="8">
        <v>3.4449999999999998</v>
      </c>
      <c r="P479" s="8">
        <f>1.027+1.323</f>
        <v>2.3499999999999996</v>
      </c>
      <c r="Q479" s="8"/>
      <c r="R479" s="8"/>
      <c r="S479" s="8">
        <v>3.5230000000000001</v>
      </c>
      <c r="T479" s="8">
        <f>1.426+1.599</f>
        <v>3.0249999999999999</v>
      </c>
      <c r="U479" s="8"/>
      <c r="V479" s="8">
        <f t="shared" si="109"/>
        <v>0.68214804063860657</v>
      </c>
      <c r="W479" s="8"/>
      <c r="X479" s="8">
        <f t="shared" si="108"/>
        <v>0.85864320181663345</v>
      </c>
      <c r="Y479" s="31">
        <f t="shared" si="104"/>
        <v>0.11328619431821363</v>
      </c>
      <c r="Z479" s="31">
        <f t="shared" si="105"/>
        <v>0.11328619431821363</v>
      </c>
      <c r="AA479" s="31" t="str">
        <f t="shared" si="106"/>
        <v/>
      </c>
    </row>
    <row r="480" spans="1:27" x14ac:dyDescent="0.25">
      <c r="A480" s="6" t="str">
        <f t="shared" si="100"/>
        <v>complete</v>
      </c>
      <c r="B480" s="6" t="s">
        <v>438</v>
      </c>
      <c r="C480" s="6" t="str">
        <f t="shared" si="101"/>
        <v>HC199 428</v>
      </c>
      <c r="D480" s="6" t="s">
        <v>437</v>
      </c>
      <c r="E480" s="20">
        <v>428</v>
      </c>
      <c r="F480" s="6" t="s">
        <v>154</v>
      </c>
      <c r="G480" s="6" t="s">
        <v>464</v>
      </c>
      <c r="H480" s="6" t="s">
        <v>979</v>
      </c>
      <c r="I480" s="6" t="s">
        <v>20</v>
      </c>
      <c r="J480" s="29">
        <f>16.235*2</f>
        <v>32.47</v>
      </c>
      <c r="K480" s="8">
        <f t="shared" si="102"/>
        <v>1.5114822886260015</v>
      </c>
      <c r="L480" s="8">
        <f t="shared" si="103"/>
        <v>8.0854867721028452</v>
      </c>
      <c r="M480" s="8"/>
      <c r="N480" s="8"/>
      <c r="O480" s="8"/>
      <c r="P480" s="8"/>
      <c r="Q480" s="8"/>
      <c r="R480" s="8"/>
      <c r="S480" s="8">
        <v>3.87</v>
      </c>
      <c r="T480" s="8">
        <f>1.156+1.33+0.675</f>
        <v>3.1609999999999996</v>
      </c>
      <c r="U480" s="8"/>
      <c r="V480" s="8"/>
      <c r="W480" s="8"/>
      <c r="X480" s="8">
        <f t="shared" si="108"/>
        <v>0.81679586563307482</v>
      </c>
      <c r="Y480" s="31">
        <f t="shared" si="104"/>
        <v>8.7886469179331711E-2</v>
      </c>
      <c r="Z480" s="31" t="str">
        <f t="shared" si="105"/>
        <v/>
      </c>
      <c r="AA480" s="31">
        <f t="shared" si="106"/>
        <v>8.7886469179331711E-2</v>
      </c>
    </row>
    <row r="481" spans="1:27" x14ac:dyDescent="0.25">
      <c r="A481" s="6" t="str">
        <f t="shared" si="100"/>
        <v>complete</v>
      </c>
      <c r="B481" s="6" t="s">
        <v>438</v>
      </c>
      <c r="C481" s="6" t="str">
        <f t="shared" si="101"/>
        <v>HC199 428</v>
      </c>
      <c r="D481" s="6" t="s">
        <v>437</v>
      </c>
      <c r="E481" s="20">
        <v>428</v>
      </c>
      <c r="F481" s="6" t="s">
        <v>154</v>
      </c>
      <c r="G481" s="6" t="s">
        <v>465</v>
      </c>
      <c r="H481" s="6" t="s">
        <v>979</v>
      </c>
      <c r="I481" s="6" t="s">
        <v>20</v>
      </c>
      <c r="J481" s="29">
        <f>23.851*2</f>
        <v>47.701999999999998</v>
      </c>
      <c r="K481" s="8">
        <f t="shared" si="102"/>
        <v>1.6785365880706151</v>
      </c>
      <c r="L481" s="8">
        <f t="shared" si="103"/>
        <v>8.4701435117245758</v>
      </c>
      <c r="M481" s="8">
        <v>1.8080000000000001</v>
      </c>
      <c r="N481" s="8">
        <f>0.578+1.125</f>
        <v>1.7029999999999998</v>
      </c>
      <c r="O481" s="8"/>
      <c r="P481" s="8"/>
      <c r="Q481" s="8">
        <v>1.133</v>
      </c>
      <c r="R481" s="8">
        <f>0.707+0.818</f>
        <v>1.5249999999999999</v>
      </c>
      <c r="S481" s="8">
        <v>2.68</v>
      </c>
      <c r="T481" s="8">
        <f>0.683+1.185+0.908</f>
        <v>2.7760000000000002</v>
      </c>
      <c r="U481" s="8">
        <f>N481/M481</f>
        <v>0.94192477876106184</v>
      </c>
      <c r="V481" s="8"/>
      <c r="W481" s="8">
        <f>R481/Q481</f>
        <v>1.3459841129744041</v>
      </c>
      <c r="X481" s="8">
        <f t="shared" si="108"/>
        <v>1.035820895522388</v>
      </c>
      <c r="Y481" s="31">
        <f t="shared" si="104"/>
        <v>-4.4504454534118221E-2</v>
      </c>
      <c r="Z481" s="31" t="str">
        <f t="shared" si="105"/>
        <v/>
      </c>
      <c r="AA481" s="31">
        <f t="shared" si="106"/>
        <v>-4.4504454534118221E-2</v>
      </c>
    </row>
    <row r="482" spans="1:27" x14ac:dyDescent="0.25">
      <c r="A482" s="6" t="str">
        <f t="shared" si="100"/>
        <v>fragment</v>
      </c>
      <c r="B482" s="6" t="s">
        <v>438</v>
      </c>
      <c r="C482" s="6" t="str">
        <f t="shared" si="101"/>
        <v>HC199 428</v>
      </c>
      <c r="D482" s="6" t="s">
        <v>437</v>
      </c>
      <c r="E482" s="20">
        <v>428</v>
      </c>
      <c r="F482" s="6" t="s">
        <v>154</v>
      </c>
      <c r="G482" s="6" t="s">
        <v>466</v>
      </c>
      <c r="H482" s="6" t="s">
        <v>979</v>
      </c>
      <c r="I482" s="6" t="s">
        <v>20</v>
      </c>
      <c r="J482" s="29"/>
      <c r="K482" s="8" t="str">
        <f t="shared" si="102"/>
        <v/>
      </c>
      <c r="L482" s="8" t="str">
        <f t="shared" si="103"/>
        <v/>
      </c>
      <c r="M482" s="8"/>
      <c r="N482" s="8"/>
      <c r="O482" s="8">
        <v>9.4830000000000005</v>
      </c>
      <c r="P482" s="8">
        <f>1.12+2.43+1.749+1.094</f>
        <v>6.3930000000000007</v>
      </c>
      <c r="Q482" s="8"/>
      <c r="R482" s="8"/>
      <c r="S482" s="8">
        <v>7.5960000000000001</v>
      </c>
      <c r="T482" s="8">
        <f>1.592+1.652+1.73+0.905</f>
        <v>5.8790000000000004</v>
      </c>
      <c r="U482" s="8"/>
      <c r="V482" s="8">
        <f t="shared" ref="V482:V487" si="110">P482/O482</f>
        <v>0.67415374881366663</v>
      </c>
      <c r="W482" s="8"/>
      <c r="X482" s="8">
        <f t="shared" si="108"/>
        <v>0.77395997893628232</v>
      </c>
      <c r="Y482" s="31">
        <f t="shared" si="104"/>
        <v>0.1402273251048457</v>
      </c>
      <c r="Z482" s="31">
        <f t="shared" si="105"/>
        <v>0.1402273251048457</v>
      </c>
      <c r="AA482" s="31" t="str">
        <f t="shared" si="106"/>
        <v/>
      </c>
    </row>
    <row r="483" spans="1:27" x14ac:dyDescent="0.25">
      <c r="A483" s="6" t="str">
        <f t="shared" si="100"/>
        <v>complete</v>
      </c>
      <c r="B483" s="6" t="s">
        <v>438</v>
      </c>
      <c r="C483" s="6" t="str">
        <f t="shared" si="101"/>
        <v>HC199 428</v>
      </c>
      <c r="D483" s="6" t="s">
        <v>437</v>
      </c>
      <c r="E483" s="20">
        <v>428</v>
      </c>
      <c r="F483" s="6" t="s">
        <v>154</v>
      </c>
      <c r="G483" s="6" t="s">
        <v>467</v>
      </c>
      <c r="H483" s="6" t="s">
        <v>979</v>
      </c>
      <c r="I483" s="6" t="s">
        <v>20</v>
      </c>
      <c r="J483" s="29">
        <v>35.692999999999998</v>
      </c>
      <c r="K483" s="8">
        <f t="shared" si="102"/>
        <v>1.5525830519817303</v>
      </c>
      <c r="L483" s="8">
        <f t="shared" si="103"/>
        <v>8.1801247771164238</v>
      </c>
      <c r="M483" s="8"/>
      <c r="N483" s="8"/>
      <c r="O483" s="8">
        <v>4.2309999999999999</v>
      </c>
      <c r="P483" s="8">
        <f>0.848+1.6+0.373+2.504+0.138+0.92</f>
        <v>6.3829999999999991</v>
      </c>
      <c r="Q483" s="8"/>
      <c r="R483" s="8"/>
      <c r="S483" s="8">
        <v>4.0609999999999999</v>
      </c>
      <c r="T483" s="8">
        <f>1.003+1.497+1.796+0.508</f>
        <v>4.8040000000000003</v>
      </c>
      <c r="U483" s="8"/>
      <c r="V483" s="8">
        <f t="shared" si="110"/>
        <v>1.5086268021744267</v>
      </c>
      <c r="W483" s="8"/>
      <c r="X483" s="8">
        <f t="shared" si="108"/>
        <v>1.1829598621029305</v>
      </c>
      <c r="Y483" s="31">
        <f t="shared" si="104"/>
        <v>-0.12897837221854203</v>
      </c>
      <c r="Z483" s="31" t="str">
        <f t="shared" si="105"/>
        <v/>
      </c>
      <c r="AA483" s="31">
        <f t="shared" si="106"/>
        <v>-0.12897837221854203</v>
      </c>
    </row>
    <row r="484" spans="1:27" x14ac:dyDescent="0.25">
      <c r="A484" s="6" t="str">
        <f t="shared" si="100"/>
        <v>complete</v>
      </c>
      <c r="B484" s="6" t="s">
        <v>438</v>
      </c>
      <c r="C484" s="6" t="str">
        <f t="shared" si="101"/>
        <v>HC199 428</v>
      </c>
      <c r="D484" s="6" t="s">
        <v>437</v>
      </c>
      <c r="E484" s="20">
        <v>428</v>
      </c>
      <c r="F484" s="6" t="s">
        <v>154</v>
      </c>
      <c r="G484" s="6" t="s">
        <v>468</v>
      </c>
      <c r="H484" s="6" t="s">
        <v>979</v>
      </c>
      <c r="I484" s="6" t="s">
        <v>20</v>
      </c>
      <c r="J484" s="29">
        <f>60.122*2</f>
        <v>120.244</v>
      </c>
      <c r="K484" s="8">
        <f t="shared" si="102"/>
        <v>2.0800634149260997</v>
      </c>
      <c r="L484" s="8">
        <f t="shared" si="103"/>
        <v>9.3946931976792172</v>
      </c>
      <c r="M484" s="8"/>
      <c r="N484" s="8"/>
      <c r="O484" s="8">
        <v>8.2569999999999997</v>
      </c>
      <c r="P484" s="8">
        <f>1.163+1.912+1.97+1.954+0.743</f>
        <v>7.742</v>
      </c>
      <c r="Q484" s="8"/>
      <c r="R484" s="8"/>
      <c r="S484" s="8">
        <v>10.695</v>
      </c>
      <c r="T484" s="8">
        <f>1.285+2.216+2.279+2.301+2.412</f>
        <v>10.492999999999999</v>
      </c>
      <c r="U484" s="8"/>
      <c r="V484" s="8">
        <f t="shared" si="110"/>
        <v>0.93762867869686328</v>
      </c>
      <c r="W484" s="8"/>
      <c r="X484" s="8">
        <f t="shared" si="108"/>
        <v>0.9811126694717156</v>
      </c>
      <c r="Y484" s="31">
        <f t="shared" si="104"/>
        <v>1.8013561123431374E-2</v>
      </c>
      <c r="Z484" s="31" t="str">
        <f t="shared" si="105"/>
        <v/>
      </c>
      <c r="AA484" s="31">
        <f t="shared" si="106"/>
        <v>1.8013561123431374E-2</v>
      </c>
    </row>
    <row r="485" spans="1:27" x14ac:dyDescent="0.25">
      <c r="A485" s="6" t="str">
        <f t="shared" si="100"/>
        <v>complete</v>
      </c>
      <c r="B485" s="6" t="s">
        <v>438</v>
      </c>
      <c r="C485" s="6" t="str">
        <f t="shared" si="101"/>
        <v>HC199 428</v>
      </c>
      <c r="D485" s="6" t="s">
        <v>437</v>
      </c>
      <c r="E485" s="20">
        <v>428</v>
      </c>
      <c r="F485" s="6" t="s">
        <v>154</v>
      </c>
      <c r="G485" s="6" t="s">
        <v>469</v>
      </c>
      <c r="H485" s="6" t="s">
        <v>979</v>
      </c>
      <c r="I485" s="6" t="s">
        <v>20</v>
      </c>
      <c r="J485" s="29">
        <f>25.543*2</f>
        <v>51.085999999999999</v>
      </c>
      <c r="K485" s="8">
        <f t="shared" si="102"/>
        <v>1.7083018990428862</v>
      </c>
      <c r="L485" s="8">
        <f t="shared" si="103"/>
        <v>8.5386806730576605</v>
      </c>
      <c r="M485" s="8"/>
      <c r="N485" s="8"/>
      <c r="O485" s="8">
        <v>4.4240000000000004</v>
      </c>
      <c r="P485" s="8">
        <f>0.748+1.383+2.152</f>
        <v>4.2830000000000004</v>
      </c>
      <c r="Q485" s="8"/>
      <c r="R485" s="8"/>
      <c r="S485" s="8">
        <v>6.9390000000000001</v>
      </c>
      <c r="T485" s="8">
        <f>1.147+2.171+1.276</f>
        <v>4.5939999999999994</v>
      </c>
      <c r="U485" s="8"/>
      <c r="V485" s="8">
        <f t="shared" si="110"/>
        <v>0.96812839059674505</v>
      </c>
      <c r="W485" s="8"/>
      <c r="X485" s="8">
        <f t="shared" si="108"/>
        <v>0.66205505116010943</v>
      </c>
      <c r="Y485" s="31">
        <f t="shared" si="104"/>
        <v>8.8793518094289092E-2</v>
      </c>
      <c r="Z485" s="31" t="str">
        <f t="shared" si="105"/>
        <v/>
      </c>
      <c r="AA485" s="31">
        <f t="shared" si="106"/>
        <v>8.8793518094289092E-2</v>
      </c>
    </row>
    <row r="486" spans="1:27" x14ac:dyDescent="0.25">
      <c r="A486" s="6" t="str">
        <f t="shared" si="100"/>
        <v>complete</v>
      </c>
      <c r="B486" s="6" t="s">
        <v>438</v>
      </c>
      <c r="C486" s="6" t="str">
        <f t="shared" si="101"/>
        <v>HC199 428</v>
      </c>
      <c r="D486" s="6" t="s">
        <v>437</v>
      </c>
      <c r="E486" s="20">
        <v>428</v>
      </c>
      <c r="F486" s="6" t="s">
        <v>154</v>
      </c>
      <c r="G486" s="6" t="s">
        <v>470</v>
      </c>
      <c r="H486" s="6" t="s">
        <v>979</v>
      </c>
      <c r="I486" s="6" t="s">
        <v>20</v>
      </c>
      <c r="J486" s="29">
        <f>33.265*2</f>
        <v>66.53</v>
      </c>
      <c r="K486" s="8">
        <f t="shared" si="102"/>
        <v>1.8230175234460493</v>
      </c>
      <c r="L486" s="8">
        <f t="shared" si="103"/>
        <v>8.8028231597418873</v>
      </c>
      <c r="M486" s="8"/>
      <c r="N486" s="8"/>
      <c r="O486" s="8">
        <v>7.2949999999999999</v>
      </c>
      <c r="P486" s="8">
        <f>1.325+2.93+1.449</f>
        <v>5.7039999999999997</v>
      </c>
      <c r="Q486" s="8"/>
      <c r="R486" s="8"/>
      <c r="S486" s="8">
        <v>8.1660000000000004</v>
      </c>
      <c r="T486" s="8">
        <f>2.12+2.463+2.421+1.264</f>
        <v>8.2679999999999989</v>
      </c>
      <c r="U486" s="8"/>
      <c r="V486" s="8">
        <f t="shared" si="110"/>
        <v>0.78190541466758046</v>
      </c>
      <c r="W486" s="8"/>
      <c r="X486" s="8">
        <f t="shared" si="108"/>
        <v>1.0124908155767816</v>
      </c>
      <c r="Y486" s="31">
        <f t="shared" si="104"/>
        <v>4.7111647475266548E-2</v>
      </c>
      <c r="Z486" s="31" t="str">
        <f t="shared" si="105"/>
        <v/>
      </c>
      <c r="AA486" s="31">
        <f t="shared" si="106"/>
        <v>4.7111647475266548E-2</v>
      </c>
    </row>
    <row r="487" spans="1:27" x14ac:dyDescent="0.25">
      <c r="A487" s="6" t="str">
        <f t="shared" si="100"/>
        <v>fragment</v>
      </c>
      <c r="B487" s="6" t="s">
        <v>438</v>
      </c>
      <c r="C487" s="6" t="str">
        <f t="shared" si="101"/>
        <v>HC199 428</v>
      </c>
      <c r="D487" s="6" t="s">
        <v>437</v>
      </c>
      <c r="E487" s="20">
        <v>428</v>
      </c>
      <c r="F487" s="6" t="s">
        <v>154</v>
      </c>
      <c r="G487" s="6" t="s">
        <v>471</v>
      </c>
      <c r="H487" s="6" t="s">
        <v>979</v>
      </c>
      <c r="I487" s="6" t="s">
        <v>20</v>
      </c>
      <c r="J487" s="29"/>
      <c r="K487" s="8" t="str">
        <f t="shared" si="102"/>
        <v/>
      </c>
      <c r="L487" s="8" t="str">
        <f t="shared" si="103"/>
        <v/>
      </c>
      <c r="M487" s="8"/>
      <c r="N487" s="8"/>
      <c r="O487" s="8">
        <v>2.238</v>
      </c>
      <c r="P487" s="8">
        <f>1.251+0.998</f>
        <v>2.2489999999999997</v>
      </c>
      <c r="Q487" s="8"/>
      <c r="R487" s="8"/>
      <c r="S487" s="8">
        <v>2.883</v>
      </c>
      <c r="T487" s="8">
        <f>1.562+0.843</f>
        <v>2.4050000000000002</v>
      </c>
      <c r="U487" s="8"/>
      <c r="V487" s="8">
        <f t="shared" si="110"/>
        <v>1.0049151027703305</v>
      </c>
      <c r="W487" s="8"/>
      <c r="X487" s="8">
        <f t="shared" si="108"/>
        <v>0.83420048560527238</v>
      </c>
      <c r="Y487" s="31">
        <f t="shared" si="104"/>
        <v>3.6420970169162001E-2</v>
      </c>
      <c r="Z487" s="31">
        <f t="shared" si="105"/>
        <v>3.6420970169162001E-2</v>
      </c>
      <c r="AA487" s="31" t="str">
        <f t="shared" si="106"/>
        <v/>
      </c>
    </row>
    <row r="488" spans="1:27" x14ac:dyDescent="0.25">
      <c r="A488" s="6" t="str">
        <f t="shared" si="100"/>
        <v>fragment</v>
      </c>
      <c r="B488" s="6" t="s">
        <v>438</v>
      </c>
      <c r="C488" s="6" t="str">
        <f t="shared" si="101"/>
        <v>HC199 428</v>
      </c>
      <c r="D488" s="6" t="s">
        <v>437</v>
      </c>
      <c r="E488" s="20">
        <v>428</v>
      </c>
      <c r="F488" s="6" t="s">
        <v>154</v>
      </c>
      <c r="G488" s="6" t="s">
        <v>472</v>
      </c>
      <c r="H488" s="6" t="s">
        <v>979</v>
      </c>
      <c r="I488" s="6" t="s">
        <v>20</v>
      </c>
      <c r="J488" s="29"/>
      <c r="K488" s="8" t="str">
        <f t="shared" si="102"/>
        <v/>
      </c>
      <c r="L488" s="8" t="str">
        <f t="shared" si="103"/>
        <v/>
      </c>
      <c r="M488" s="8"/>
      <c r="N488" s="8"/>
      <c r="O488" s="8"/>
      <c r="P488" s="8"/>
      <c r="Q488" s="8">
        <v>5.8170000000000002</v>
      </c>
      <c r="R488" s="8">
        <f>1.619+1.751</f>
        <v>3.37</v>
      </c>
      <c r="S488" s="8">
        <v>5.7370000000000001</v>
      </c>
      <c r="T488" s="8">
        <f>0.783+1.963+2.512</f>
        <v>5.258</v>
      </c>
      <c r="U488" s="8"/>
      <c r="V488" s="8"/>
      <c r="W488" s="8">
        <f>R488/Q488</f>
        <v>0.57933642771187899</v>
      </c>
      <c r="X488" s="8">
        <f t="shared" si="108"/>
        <v>0.91650688513160183</v>
      </c>
      <c r="Y488" s="31">
        <f t="shared" si="104"/>
        <v>0.12614389139443902</v>
      </c>
      <c r="Z488" s="31">
        <f t="shared" si="105"/>
        <v>0.12614389139443902</v>
      </c>
      <c r="AA488" s="31" t="str">
        <f t="shared" si="106"/>
        <v/>
      </c>
    </row>
    <row r="489" spans="1:27" x14ac:dyDescent="0.25">
      <c r="A489" s="6" t="str">
        <f t="shared" si="100"/>
        <v>fragment</v>
      </c>
      <c r="B489" s="6" t="s">
        <v>438</v>
      </c>
      <c r="C489" s="6" t="str">
        <f t="shared" si="101"/>
        <v>HC199 428</v>
      </c>
      <c r="D489" s="6" t="s">
        <v>437</v>
      </c>
      <c r="E489" s="20">
        <v>428</v>
      </c>
      <c r="F489" s="6" t="s">
        <v>154</v>
      </c>
      <c r="G489" s="6" t="s">
        <v>473</v>
      </c>
      <c r="H489" s="6" t="s">
        <v>979</v>
      </c>
      <c r="I489" s="6" t="s">
        <v>20</v>
      </c>
      <c r="J489" s="29"/>
      <c r="K489" s="8" t="str">
        <f t="shared" si="102"/>
        <v/>
      </c>
      <c r="L489" s="8" t="str">
        <f t="shared" si="103"/>
        <v/>
      </c>
      <c r="M489" s="8"/>
      <c r="N489" s="8"/>
      <c r="O489" s="8">
        <v>2.1339999999999999</v>
      </c>
      <c r="P489" s="8">
        <f>0.89+0.343+1.398+0.837</f>
        <v>3.468</v>
      </c>
      <c r="Q489" s="8"/>
      <c r="R489" s="8"/>
      <c r="S489" s="8">
        <v>3.1080000000000001</v>
      </c>
      <c r="T489" s="8">
        <f>0.794+1.671+1.411+0.597</f>
        <v>4.4729999999999999</v>
      </c>
      <c r="U489" s="8"/>
      <c r="V489" s="8">
        <f t="shared" ref="V489:V502" si="111">P489/O489</f>
        <v>1.6251171508903468</v>
      </c>
      <c r="W489" s="8"/>
      <c r="X489" s="8">
        <f t="shared" si="108"/>
        <v>1.439189189189189</v>
      </c>
      <c r="Y489" s="31">
        <f t="shared" si="104"/>
        <v>-0.18530218408110932</v>
      </c>
      <c r="Z489" s="31">
        <f t="shared" si="105"/>
        <v>-0.18530218408110932</v>
      </c>
      <c r="AA489" s="31" t="str">
        <f t="shared" si="106"/>
        <v/>
      </c>
    </row>
    <row r="490" spans="1:27" x14ac:dyDescent="0.25">
      <c r="A490" s="6" t="str">
        <f t="shared" si="100"/>
        <v>fragment</v>
      </c>
      <c r="B490" s="6" t="s">
        <v>438</v>
      </c>
      <c r="C490" s="6" t="str">
        <f t="shared" si="101"/>
        <v>HC199 428</v>
      </c>
      <c r="D490" s="6" t="s">
        <v>437</v>
      </c>
      <c r="E490" s="20">
        <v>428</v>
      </c>
      <c r="F490" s="6" t="s">
        <v>154</v>
      </c>
      <c r="G490" s="6" t="s">
        <v>475</v>
      </c>
      <c r="H490" s="6" t="s">
        <v>979</v>
      </c>
      <c r="I490" s="6" t="s">
        <v>20</v>
      </c>
      <c r="J490" s="29"/>
      <c r="K490" s="8" t="str">
        <f t="shared" si="102"/>
        <v/>
      </c>
      <c r="L490" s="8" t="str">
        <f t="shared" si="103"/>
        <v/>
      </c>
      <c r="M490" s="8"/>
      <c r="N490" s="8"/>
      <c r="O490" s="8">
        <v>5.26</v>
      </c>
      <c r="P490" s="8">
        <f>1.575+1.641+0.888</f>
        <v>4.1040000000000001</v>
      </c>
      <c r="Q490" s="8">
        <v>4.6950000000000003</v>
      </c>
      <c r="R490" s="8">
        <f>1.447+0.69+1.756+0.612</f>
        <v>4.5049999999999999</v>
      </c>
      <c r="S490" s="8">
        <v>2.9089999999999998</v>
      </c>
      <c r="T490" s="8">
        <f>1.141+1.487</f>
        <v>2.6280000000000001</v>
      </c>
      <c r="U490" s="8"/>
      <c r="V490" s="8">
        <f t="shared" si="111"/>
        <v>0.78022813688212933</v>
      </c>
      <c r="W490" s="8">
        <f>R490/Q490</f>
        <v>0.95953141640042594</v>
      </c>
      <c r="X490" s="8">
        <f t="shared" si="108"/>
        <v>0.90340323135097977</v>
      </c>
      <c r="Y490" s="31">
        <f t="shared" si="104"/>
        <v>5.4997343842570261E-2</v>
      </c>
      <c r="Z490" s="31">
        <f t="shared" si="105"/>
        <v>5.4997343842570261E-2</v>
      </c>
      <c r="AA490" s="31" t="str">
        <f t="shared" si="106"/>
        <v/>
      </c>
    </row>
    <row r="491" spans="1:27" x14ac:dyDescent="0.25">
      <c r="A491" s="6" t="str">
        <f t="shared" si="100"/>
        <v>fragment</v>
      </c>
      <c r="B491" s="6" t="s">
        <v>438</v>
      </c>
      <c r="C491" s="6" t="str">
        <f t="shared" si="101"/>
        <v>HC199 428</v>
      </c>
      <c r="D491" s="6" t="s">
        <v>437</v>
      </c>
      <c r="E491" s="20">
        <v>428</v>
      </c>
      <c r="F491" s="6" t="s">
        <v>154</v>
      </c>
      <c r="G491" s="6" t="s">
        <v>476</v>
      </c>
      <c r="H491" s="6" t="s">
        <v>979</v>
      </c>
      <c r="I491" s="6" t="s">
        <v>20</v>
      </c>
      <c r="J491" s="29"/>
      <c r="K491" s="8" t="str">
        <f t="shared" si="102"/>
        <v/>
      </c>
      <c r="L491" s="8" t="str">
        <f t="shared" si="103"/>
        <v/>
      </c>
      <c r="M491" s="8"/>
      <c r="N491" s="8"/>
      <c r="O491" s="8">
        <v>7.7869999999999999</v>
      </c>
      <c r="P491" s="8">
        <f>1.711+0.45+3.052+0.255+1.943+0.52</f>
        <v>7.9309999999999992</v>
      </c>
      <c r="Q491" s="8"/>
      <c r="R491" s="8"/>
      <c r="S491" s="8"/>
      <c r="T491" s="8"/>
      <c r="U491" s="8"/>
      <c r="V491" s="8">
        <f t="shared" si="111"/>
        <v>1.0184923590599717</v>
      </c>
      <c r="W491" s="8"/>
      <c r="X491" s="8"/>
      <c r="Y491" s="31">
        <f t="shared" si="104"/>
        <v>-7.9577751815058887E-3</v>
      </c>
      <c r="Z491" s="31">
        <f t="shared" si="105"/>
        <v>-7.9577751815058887E-3</v>
      </c>
      <c r="AA491" s="31" t="str">
        <f t="shared" si="106"/>
        <v/>
      </c>
    </row>
    <row r="492" spans="1:27" x14ac:dyDescent="0.25">
      <c r="A492" s="6" t="str">
        <f t="shared" si="100"/>
        <v>fragment</v>
      </c>
      <c r="B492" s="6" t="s">
        <v>438</v>
      </c>
      <c r="C492" s="6" t="str">
        <f t="shared" si="101"/>
        <v>HC199 428</v>
      </c>
      <c r="D492" s="6" t="s">
        <v>437</v>
      </c>
      <c r="E492" s="20">
        <v>428</v>
      </c>
      <c r="F492" s="6" t="s">
        <v>154</v>
      </c>
      <c r="G492" s="6" t="s">
        <v>477</v>
      </c>
      <c r="H492" s="6" t="s">
        <v>979</v>
      </c>
      <c r="I492" s="6" t="s">
        <v>20</v>
      </c>
      <c r="J492" s="29"/>
      <c r="K492" s="8" t="str">
        <f t="shared" si="102"/>
        <v/>
      </c>
      <c r="L492" s="8" t="str">
        <f t="shared" si="103"/>
        <v/>
      </c>
      <c r="M492" s="8"/>
      <c r="N492" s="8"/>
      <c r="O492" s="8">
        <v>4.8620000000000001</v>
      </c>
      <c r="P492" s="8">
        <f>1.466+1.479+1.517</f>
        <v>4.4619999999999997</v>
      </c>
      <c r="Q492" s="8"/>
      <c r="R492" s="8"/>
      <c r="S492" s="8">
        <v>7.0339999999999998</v>
      </c>
      <c r="T492" s="8">
        <f>1.392+2.18+1.714</f>
        <v>5.2859999999999996</v>
      </c>
      <c r="U492" s="8"/>
      <c r="V492" s="8">
        <f t="shared" si="111"/>
        <v>0.9177293294940353</v>
      </c>
      <c r="W492" s="8"/>
      <c r="X492" s="8">
        <f t="shared" ref="X492:X499" si="112">T492/S492</f>
        <v>0.75149274950241685</v>
      </c>
      <c r="Y492" s="31">
        <f t="shared" si="104"/>
        <v>7.8515875122207854E-2</v>
      </c>
      <c r="Z492" s="31">
        <f t="shared" si="105"/>
        <v>7.8515875122207854E-2</v>
      </c>
      <c r="AA492" s="31" t="str">
        <f t="shared" si="106"/>
        <v/>
      </c>
    </row>
    <row r="493" spans="1:27" x14ac:dyDescent="0.25">
      <c r="A493" s="6" t="str">
        <f t="shared" si="100"/>
        <v>fragment</v>
      </c>
      <c r="B493" s="6" t="s">
        <v>438</v>
      </c>
      <c r="C493" s="6" t="str">
        <f t="shared" si="101"/>
        <v>HC199 428</v>
      </c>
      <c r="D493" s="6" t="s">
        <v>437</v>
      </c>
      <c r="E493" s="20">
        <v>428</v>
      </c>
      <c r="F493" s="6" t="s">
        <v>154</v>
      </c>
      <c r="G493" s="6" t="s">
        <v>478</v>
      </c>
      <c r="H493" s="6" t="s">
        <v>979</v>
      </c>
      <c r="I493" s="6" t="s">
        <v>20</v>
      </c>
      <c r="J493" s="29"/>
      <c r="K493" s="8" t="str">
        <f t="shared" si="102"/>
        <v/>
      </c>
      <c r="L493" s="8" t="str">
        <f t="shared" si="103"/>
        <v/>
      </c>
      <c r="M493" s="8"/>
      <c r="N493" s="8"/>
      <c r="O493" s="8">
        <v>1.4810000000000001</v>
      </c>
      <c r="P493" s="8">
        <f>0.798+1.273+0.313+0.431</f>
        <v>2.8149999999999999</v>
      </c>
      <c r="Q493" s="8"/>
      <c r="R493" s="8"/>
      <c r="S493" s="8">
        <v>3.0510000000000002</v>
      </c>
      <c r="T493" s="8">
        <f>0.643+2.129+0.549+1.573+0.158+0.603</f>
        <v>5.6550000000000002</v>
      </c>
      <c r="U493" s="8"/>
      <c r="V493" s="8">
        <f t="shared" si="111"/>
        <v>1.9007427413909519</v>
      </c>
      <c r="W493" s="8"/>
      <c r="X493" s="8">
        <f t="shared" si="112"/>
        <v>1.8534906588003932</v>
      </c>
      <c r="Y493" s="31">
        <f t="shared" si="104"/>
        <v>-0.27349127349087349</v>
      </c>
      <c r="Z493" s="31">
        <f t="shared" si="105"/>
        <v>-0.27349127349087349</v>
      </c>
      <c r="AA493" s="31" t="str">
        <f t="shared" si="106"/>
        <v/>
      </c>
    </row>
    <row r="494" spans="1:27" x14ac:dyDescent="0.25">
      <c r="A494" s="6" t="str">
        <f t="shared" si="100"/>
        <v>complete</v>
      </c>
      <c r="B494" s="6" t="s">
        <v>438</v>
      </c>
      <c r="C494" s="6" t="str">
        <f t="shared" si="101"/>
        <v>HC199 428</v>
      </c>
      <c r="D494" s="6" t="s">
        <v>437</v>
      </c>
      <c r="E494" s="20">
        <v>428</v>
      </c>
      <c r="F494" s="6" t="s">
        <v>154</v>
      </c>
      <c r="G494" s="6" t="s">
        <v>479</v>
      </c>
      <c r="H494" s="6" t="s">
        <v>979</v>
      </c>
      <c r="I494" s="6" t="s">
        <v>20</v>
      </c>
      <c r="J494" s="29">
        <f>19.868*2</f>
        <v>39.735999999999997</v>
      </c>
      <c r="K494" s="8">
        <f t="shared" si="102"/>
        <v>1.5991841469871668</v>
      </c>
      <c r="L494" s="8">
        <f t="shared" si="103"/>
        <v>8.2874277637931399</v>
      </c>
      <c r="M494" s="8"/>
      <c r="N494" s="8"/>
      <c r="O494" s="8">
        <v>5.774</v>
      </c>
      <c r="P494" s="8">
        <f>1.148+2.114+1.016</f>
        <v>4.2779999999999996</v>
      </c>
      <c r="Q494" s="8"/>
      <c r="R494" s="8"/>
      <c r="S494" s="8">
        <v>4.4640000000000004</v>
      </c>
      <c r="T494" s="8">
        <f>1.125+1.754+0.717</f>
        <v>3.5960000000000001</v>
      </c>
      <c r="U494" s="8"/>
      <c r="V494" s="8">
        <f t="shared" si="111"/>
        <v>0.74090751645306541</v>
      </c>
      <c r="W494" s="8"/>
      <c r="X494" s="8">
        <f t="shared" si="112"/>
        <v>0.80555555555555547</v>
      </c>
      <c r="Y494" s="31">
        <f t="shared" si="104"/>
        <v>0.11169044171881076</v>
      </c>
      <c r="Z494" s="31" t="str">
        <f t="shared" si="105"/>
        <v/>
      </c>
      <c r="AA494" s="31">
        <f t="shared" si="106"/>
        <v>0.11169044171881076</v>
      </c>
    </row>
    <row r="495" spans="1:27" x14ac:dyDescent="0.25">
      <c r="A495" s="6" t="str">
        <f t="shared" si="100"/>
        <v>fragment</v>
      </c>
      <c r="B495" s="6" t="s">
        <v>438</v>
      </c>
      <c r="C495" s="6" t="str">
        <f t="shared" si="101"/>
        <v>HC199 428</v>
      </c>
      <c r="D495" s="6" t="s">
        <v>437</v>
      </c>
      <c r="E495" s="20">
        <v>428</v>
      </c>
      <c r="F495" s="6" t="s">
        <v>154</v>
      </c>
      <c r="G495" s="6" t="s">
        <v>480</v>
      </c>
      <c r="H495" s="6" t="s">
        <v>979</v>
      </c>
      <c r="I495" s="6" t="s">
        <v>20</v>
      </c>
      <c r="J495" s="29"/>
      <c r="K495" s="8" t="str">
        <f t="shared" si="102"/>
        <v/>
      </c>
      <c r="L495" s="8" t="str">
        <f t="shared" si="103"/>
        <v/>
      </c>
      <c r="M495" s="8"/>
      <c r="N495" s="8"/>
      <c r="O495" s="8">
        <v>5.2240000000000002</v>
      </c>
      <c r="P495" s="8">
        <f>1.721+0.614+1.954+0.332+0.792</f>
        <v>5.4129999999999994</v>
      </c>
      <c r="Q495" s="8"/>
      <c r="R495" s="8"/>
      <c r="S495" s="8">
        <v>2.9140000000000001</v>
      </c>
      <c r="T495" s="8">
        <f>1.399+1.178</f>
        <v>2.577</v>
      </c>
      <c r="U495" s="8"/>
      <c r="V495" s="8">
        <f t="shared" si="111"/>
        <v>1.036179173047473</v>
      </c>
      <c r="W495" s="8"/>
      <c r="X495" s="8">
        <f t="shared" si="112"/>
        <v>0.88435140700068626</v>
      </c>
      <c r="Y495" s="31">
        <f t="shared" si="104"/>
        <v>1.7608768963391013E-2</v>
      </c>
      <c r="Z495" s="31">
        <f t="shared" si="105"/>
        <v>1.7608768963391013E-2</v>
      </c>
      <c r="AA495" s="31" t="str">
        <f t="shared" si="106"/>
        <v/>
      </c>
    </row>
    <row r="496" spans="1:27" x14ac:dyDescent="0.25">
      <c r="A496" s="6" t="str">
        <f t="shared" si="100"/>
        <v>fragment</v>
      </c>
      <c r="B496" s="6" t="s">
        <v>438</v>
      </c>
      <c r="C496" s="6" t="str">
        <f t="shared" si="101"/>
        <v>HC199 428</v>
      </c>
      <c r="D496" s="6" t="s">
        <v>437</v>
      </c>
      <c r="E496" s="20">
        <v>428</v>
      </c>
      <c r="F496" s="6" t="s">
        <v>154</v>
      </c>
      <c r="G496" s="6" t="s">
        <v>481</v>
      </c>
      <c r="H496" s="6" t="s">
        <v>979</v>
      </c>
      <c r="I496" s="6" t="s">
        <v>20</v>
      </c>
      <c r="J496" s="29"/>
      <c r="K496" s="8" t="str">
        <f t="shared" si="102"/>
        <v/>
      </c>
      <c r="L496" s="8" t="str">
        <f t="shared" si="103"/>
        <v/>
      </c>
      <c r="M496" s="8"/>
      <c r="N496" s="8"/>
      <c r="O496" s="8">
        <v>2.1960000000000002</v>
      </c>
      <c r="P496" s="8">
        <f>0.883+0.68+0.686</f>
        <v>2.2490000000000001</v>
      </c>
      <c r="Q496" s="8"/>
      <c r="R496" s="8"/>
      <c r="S496" s="8">
        <v>3.5739999999999998</v>
      </c>
      <c r="T496" s="8">
        <f>0.744+1.258+1.189+0.597</f>
        <v>3.7879999999999998</v>
      </c>
      <c r="U496" s="8"/>
      <c r="V496" s="8">
        <f t="shared" si="111"/>
        <v>1.0241347905282332</v>
      </c>
      <c r="W496" s="8"/>
      <c r="X496" s="8">
        <f t="shared" si="112"/>
        <v>1.059876888640179</v>
      </c>
      <c r="Y496" s="31">
        <f t="shared" si="104"/>
        <v>-1.7870152833074762E-2</v>
      </c>
      <c r="Z496" s="31">
        <f t="shared" si="105"/>
        <v>-1.7870152833074762E-2</v>
      </c>
      <c r="AA496" s="31" t="str">
        <f t="shared" si="106"/>
        <v/>
      </c>
    </row>
    <row r="497" spans="1:27" x14ac:dyDescent="0.25">
      <c r="A497" s="6" t="str">
        <f t="shared" si="100"/>
        <v>fragment</v>
      </c>
      <c r="B497" s="6" t="s">
        <v>438</v>
      </c>
      <c r="C497" s="6" t="str">
        <f t="shared" si="101"/>
        <v>HC199 428</v>
      </c>
      <c r="D497" s="6" t="s">
        <v>437</v>
      </c>
      <c r="E497" s="20">
        <v>428</v>
      </c>
      <c r="F497" s="6" t="s">
        <v>154</v>
      </c>
      <c r="G497" s="6" t="s">
        <v>482</v>
      </c>
      <c r="H497" s="6" t="s">
        <v>979</v>
      </c>
      <c r="I497" s="6" t="s">
        <v>20</v>
      </c>
      <c r="J497" s="29"/>
      <c r="K497" s="8" t="str">
        <f t="shared" si="102"/>
        <v/>
      </c>
      <c r="L497" s="8" t="str">
        <f t="shared" si="103"/>
        <v/>
      </c>
      <c r="M497" s="8"/>
      <c r="N497" s="8"/>
      <c r="O497" s="8">
        <v>2.3319999999999999</v>
      </c>
      <c r="P497" s="8">
        <f>1.35+1.088</f>
        <v>2.4380000000000002</v>
      </c>
      <c r="Q497" s="8">
        <v>1.2150000000000001</v>
      </c>
      <c r="R497" s="8">
        <f>0.76+0.777</f>
        <v>1.5369999999999999</v>
      </c>
      <c r="S497" s="8">
        <v>5.71</v>
      </c>
      <c r="T497" s="8">
        <f>0.732+1.697+1.94</f>
        <v>4.3689999999999998</v>
      </c>
      <c r="U497" s="8"/>
      <c r="V497" s="8">
        <f t="shared" si="111"/>
        <v>1.0454545454545456</v>
      </c>
      <c r="W497" s="8">
        <f>R497/Q497</f>
        <v>1.2650205761316871</v>
      </c>
      <c r="X497" s="8">
        <f t="shared" si="112"/>
        <v>0.76514886164623463</v>
      </c>
      <c r="Y497" s="31">
        <f t="shared" si="104"/>
        <v>-1.0811984085528177E-2</v>
      </c>
      <c r="Z497" s="31">
        <f t="shared" si="105"/>
        <v>-1.0811984085528177E-2</v>
      </c>
      <c r="AA497" s="31" t="str">
        <f t="shared" si="106"/>
        <v/>
      </c>
    </row>
    <row r="498" spans="1:27" x14ac:dyDescent="0.25">
      <c r="A498" s="6" t="str">
        <f t="shared" si="100"/>
        <v>complete</v>
      </c>
      <c r="B498" s="6" t="s">
        <v>438</v>
      </c>
      <c r="C498" s="6" t="str">
        <f t="shared" si="101"/>
        <v>HC199 428</v>
      </c>
      <c r="D498" s="6" t="s">
        <v>437</v>
      </c>
      <c r="E498" s="20">
        <v>428</v>
      </c>
      <c r="F498" s="6" t="s">
        <v>154</v>
      </c>
      <c r="G498" s="6" t="s">
        <v>483</v>
      </c>
      <c r="H498" s="6" t="s">
        <v>979</v>
      </c>
      <c r="I498" s="6" t="s">
        <v>20</v>
      </c>
      <c r="J498" s="29">
        <v>21.465</v>
      </c>
      <c r="K498" s="8">
        <f t="shared" si="102"/>
        <v>1.3317308928154576</v>
      </c>
      <c r="L498" s="8">
        <f t="shared" si="103"/>
        <v>7.6715938876646153</v>
      </c>
      <c r="M498" s="8"/>
      <c r="N498" s="8"/>
      <c r="O498" s="8">
        <v>1.657</v>
      </c>
      <c r="P498" s="8">
        <f>0.64+0.732+0.636</f>
        <v>2.008</v>
      </c>
      <c r="Q498" s="8">
        <v>1.296</v>
      </c>
      <c r="R498" s="8">
        <f>0.741+1.15+0.215</f>
        <v>2.1059999999999999</v>
      </c>
      <c r="S498" s="8">
        <v>1.839</v>
      </c>
      <c r="T498" s="8">
        <f>1.08+0.912</f>
        <v>1.992</v>
      </c>
      <c r="U498" s="8"/>
      <c r="V498" s="8">
        <f t="shared" si="111"/>
        <v>1.2118286059143029</v>
      </c>
      <c r="W498" s="8">
        <f>R498/Q498</f>
        <v>1.6249999999999998</v>
      </c>
      <c r="X498" s="8">
        <f t="shared" si="112"/>
        <v>1.0831973898858076</v>
      </c>
      <c r="Y498" s="31">
        <f t="shared" si="104"/>
        <v>-0.11616769235056668</v>
      </c>
      <c r="Z498" s="31" t="str">
        <f t="shared" si="105"/>
        <v/>
      </c>
      <c r="AA498" s="31">
        <f t="shared" si="106"/>
        <v>-0.11616769235056668</v>
      </c>
    </row>
    <row r="499" spans="1:27" x14ac:dyDescent="0.25">
      <c r="A499" s="6" t="str">
        <f t="shared" si="100"/>
        <v>fragment</v>
      </c>
      <c r="B499" s="6" t="s">
        <v>438</v>
      </c>
      <c r="C499" s="6" t="str">
        <f t="shared" si="101"/>
        <v>HC199 428</v>
      </c>
      <c r="D499" s="6" t="s">
        <v>437</v>
      </c>
      <c r="E499" s="20">
        <v>428</v>
      </c>
      <c r="F499" s="6" t="s">
        <v>154</v>
      </c>
      <c r="G499" s="6" t="s">
        <v>484</v>
      </c>
      <c r="H499" s="6" t="s">
        <v>979</v>
      </c>
      <c r="I499" s="6" t="s">
        <v>20</v>
      </c>
      <c r="J499" s="29"/>
      <c r="K499" s="8" t="str">
        <f t="shared" si="102"/>
        <v/>
      </c>
      <c r="L499" s="8" t="str">
        <f t="shared" si="103"/>
        <v/>
      </c>
      <c r="M499" s="8"/>
      <c r="N499" s="8"/>
      <c r="O499" s="8">
        <v>2.0270000000000001</v>
      </c>
      <c r="P499" s="8">
        <f>0.437+0.924+1.318</f>
        <v>2.6790000000000003</v>
      </c>
      <c r="Q499" s="8">
        <v>1.071</v>
      </c>
      <c r="R499" s="8">
        <f>0.563+0.719</f>
        <v>1.282</v>
      </c>
      <c r="S499" s="8">
        <v>3.286</v>
      </c>
      <c r="T499" s="8">
        <f>1.031+1.829+0.621</f>
        <v>3.4809999999999999</v>
      </c>
      <c r="U499" s="8"/>
      <c r="V499" s="8">
        <f t="shared" si="111"/>
        <v>1.3216576221016281</v>
      </c>
      <c r="W499" s="8">
        <f>R499/Q499</f>
        <v>1.197012138188609</v>
      </c>
      <c r="X499" s="8">
        <f t="shared" si="112"/>
        <v>1.059342665855143</v>
      </c>
      <c r="Y499" s="31">
        <f t="shared" si="104"/>
        <v>-7.6520589783631118E-2</v>
      </c>
      <c r="Z499" s="31">
        <f t="shared" si="105"/>
        <v>-7.6520589783631118E-2</v>
      </c>
      <c r="AA499" s="31" t="str">
        <f t="shared" si="106"/>
        <v/>
      </c>
    </row>
    <row r="500" spans="1:27" x14ac:dyDescent="0.25">
      <c r="A500" s="6" t="str">
        <f t="shared" si="100"/>
        <v>fragment</v>
      </c>
      <c r="B500" s="6" t="s">
        <v>438</v>
      </c>
      <c r="C500" s="6" t="str">
        <f t="shared" si="101"/>
        <v>HC199 428</v>
      </c>
      <c r="D500" s="6" t="s">
        <v>437</v>
      </c>
      <c r="E500" s="20">
        <v>428</v>
      </c>
      <c r="F500" s="6" t="s">
        <v>154</v>
      </c>
      <c r="G500" s="6" t="s">
        <v>485</v>
      </c>
      <c r="H500" s="6" t="s">
        <v>979</v>
      </c>
      <c r="I500" s="6" t="s">
        <v>20</v>
      </c>
      <c r="J500" s="29"/>
      <c r="K500" s="8" t="str">
        <f t="shared" si="102"/>
        <v/>
      </c>
      <c r="L500" s="8" t="str">
        <f t="shared" si="103"/>
        <v/>
      </c>
      <c r="M500" s="8"/>
      <c r="N500" s="8"/>
      <c r="O500" s="8">
        <v>8.2349999999999994</v>
      </c>
      <c r="P500" s="8">
        <f>1.521+2.13+1.316</f>
        <v>4.9669999999999996</v>
      </c>
      <c r="Q500" s="8"/>
      <c r="R500" s="8"/>
      <c r="S500" s="8"/>
      <c r="T500" s="8"/>
      <c r="U500" s="8"/>
      <c r="V500" s="8">
        <f t="shared" si="111"/>
        <v>0.60315725561627198</v>
      </c>
      <c r="W500" s="8"/>
      <c r="X500" s="8"/>
      <c r="Y500" s="31">
        <f t="shared" si="104"/>
        <v>0.21956944351054983</v>
      </c>
      <c r="Z500" s="31">
        <f t="shared" si="105"/>
        <v>0.21956944351054983</v>
      </c>
      <c r="AA500" s="31" t="str">
        <f t="shared" si="106"/>
        <v/>
      </c>
    </row>
    <row r="501" spans="1:27" x14ac:dyDescent="0.25">
      <c r="A501" s="6" t="str">
        <f t="shared" si="100"/>
        <v>complete</v>
      </c>
      <c r="B501" s="6" t="s">
        <v>440</v>
      </c>
      <c r="C501" s="6" t="str">
        <f t="shared" si="101"/>
        <v>HC199 428</v>
      </c>
      <c r="D501" s="6" t="s">
        <v>437</v>
      </c>
      <c r="E501" s="20">
        <v>428</v>
      </c>
      <c r="F501" s="6" t="s">
        <v>154</v>
      </c>
      <c r="G501" s="6" t="s">
        <v>441</v>
      </c>
      <c r="H501" s="6" t="s">
        <v>979</v>
      </c>
      <c r="I501" s="6" t="s">
        <v>20</v>
      </c>
      <c r="J501" s="29">
        <v>27.269819999999999</v>
      </c>
      <c r="K501" s="8">
        <f t="shared" si="102"/>
        <v>1.4356822713019255</v>
      </c>
      <c r="L501" s="8">
        <f t="shared" si="103"/>
        <v>7.9109507821637379</v>
      </c>
      <c r="M501" s="8">
        <v>4.0110000000000001</v>
      </c>
      <c r="N501" s="8">
        <f>0.469+2.511+1.067</f>
        <v>4.0469999999999997</v>
      </c>
      <c r="O501" s="8">
        <v>6.16</v>
      </c>
      <c r="P501" s="8">
        <f>1.387+2.254+1.949+1.024</f>
        <v>6.6139999999999999</v>
      </c>
      <c r="Q501" s="8"/>
      <c r="R501" s="8"/>
      <c r="S501" s="8"/>
      <c r="T501" s="8"/>
      <c r="U501" s="8">
        <f>N501/M501</f>
        <v>1.0089753178758414</v>
      </c>
      <c r="V501" s="8">
        <f t="shared" si="111"/>
        <v>1.0737012987012986</v>
      </c>
      <c r="W501" s="8"/>
      <c r="X501" s="8"/>
      <c r="Y501" s="31">
        <f t="shared" si="104"/>
        <v>-1.7591845316374172E-2</v>
      </c>
      <c r="Z501" s="31" t="str">
        <f t="shared" si="105"/>
        <v/>
      </c>
      <c r="AA501" s="31">
        <f t="shared" si="106"/>
        <v>-1.7591845316374172E-2</v>
      </c>
    </row>
    <row r="502" spans="1:27" x14ac:dyDescent="0.25">
      <c r="A502" s="6" t="str">
        <f t="shared" si="100"/>
        <v>complete</v>
      </c>
      <c r="B502" s="6" t="s">
        <v>440</v>
      </c>
      <c r="C502" s="6" t="str">
        <f t="shared" si="101"/>
        <v>HC199 428</v>
      </c>
      <c r="D502" s="6" t="s">
        <v>437</v>
      </c>
      <c r="E502" s="20">
        <v>428</v>
      </c>
      <c r="F502" s="6" t="s">
        <v>154</v>
      </c>
      <c r="G502" s="6" t="s">
        <v>451</v>
      </c>
      <c r="H502" s="6" t="s">
        <v>979</v>
      </c>
      <c r="I502" s="6" t="s">
        <v>20</v>
      </c>
      <c r="J502" s="29">
        <v>56.320749999999997</v>
      </c>
      <c r="K502" s="8">
        <f t="shared" si="102"/>
        <v>1.7506684294915251</v>
      </c>
      <c r="L502" s="8">
        <f t="shared" si="103"/>
        <v>8.6362332145105754</v>
      </c>
      <c r="M502" s="8"/>
      <c r="N502" s="8"/>
      <c r="O502" s="8">
        <v>5.2450000000000001</v>
      </c>
      <c r="P502" s="8">
        <f>1.259+1.803+1.115+1.077</f>
        <v>5.2539999999999996</v>
      </c>
      <c r="Q502" s="8"/>
      <c r="R502" s="8"/>
      <c r="S502" s="8">
        <v>5.46</v>
      </c>
      <c r="T502" s="8">
        <f>1.436+2.045+1.495+0.993</f>
        <v>5.9690000000000003</v>
      </c>
      <c r="U502" s="8"/>
      <c r="V502" s="8">
        <f t="shared" si="111"/>
        <v>1.0017159199237369</v>
      </c>
      <c r="W502" s="8"/>
      <c r="X502" s="8">
        <f>T502/S502</f>
        <v>1.0932234432234433</v>
      </c>
      <c r="Y502" s="31">
        <f t="shared" si="104"/>
        <v>-2.0141461408408726E-2</v>
      </c>
      <c r="Z502" s="31" t="str">
        <f t="shared" si="105"/>
        <v/>
      </c>
      <c r="AA502" s="31">
        <f t="shared" si="106"/>
        <v>-2.0141461408408726E-2</v>
      </c>
    </row>
    <row r="503" spans="1:27" x14ac:dyDescent="0.25">
      <c r="A503" s="6" t="str">
        <f t="shared" si="100"/>
        <v>complete</v>
      </c>
      <c r="B503" s="6" t="s">
        <v>440</v>
      </c>
      <c r="C503" s="6" t="str">
        <f t="shared" si="101"/>
        <v>HC199 428</v>
      </c>
      <c r="D503" s="6" t="s">
        <v>437</v>
      </c>
      <c r="E503" s="20">
        <v>428</v>
      </c>
      <c r="F503" s="6" t="s">
        <v>154</v>
      </c>
      <c r="G503" s="6" t="s">
        <v>453</v>
      </c>
      <c r="H503" s="6" t="s">
        <v>979</v>
      </c>
      <c r="I503" s="6" t="s">
        <v>20</v>
      </c>
      <c r="J503" s="29">
        <v>62.987319999999997</v>
      </c>
      <c r="K503" s="8">
        <f t="shared" si="102"/>
        <v>1.7992531302744275</v>
      </c>
      <c r="L503" s="8">
        <f t="shared" si="103"/>
        <v>8.7481036222808619</v>
      </c>
      <c r="M503" s="8"/>
      <c r="N503" s="8"/>
      <c r="O503" s="8"/>
      <c r="P503" s="8"/>
      <c r="Q503" s="8">
        <v>3.9540000000000002</v>
      </c>
      <c r="R503" s="8">
        <f>0.758+1.641+0.587</f>
        <v>2.9859999999999998</v>
      </c>
      <c r="S503" s="8">
        <v>4.9649999999999999</v>
      </c>
      <c r="T503" s="8">
        <f>0.956+1.986+0.623</f>
        <v>3.5650000000000004</v>
      </c>
      <c r="U503" s="8"/>
      <c r="V503" s="8"/>
      <c r="W503" s="8">
        <f>R503/Q503</f>
        <v>0.75518462316641366</v>
      </c>
      <c r="X503" s="8">
        <f>T503/S503</f>
        <v>0.71802618328298096</v>
      </c>
      <c r="Y503" s="31">
        <f t="shared" si="104"/>
        <v>0.13276509978729095</v>
      </c>
      <c r="Z503" s="31" t="str">
        <f t="shared" si="105"/>
        <v/>
      </c>
      <c r="AA503" s="31">
        <f t="shared" si="106"/>
        <v>0.13276509978729095</v>
      </c>
    </row>
    <row r="504" spans="1:27" x14ac:dyDescent="0.25">
      <c r="A504" s="6" t="str">
        <f t="shared" si="100"/>
        <v>complete</v>
      </c>
      <c r="B504" s="6" t="s">
        <v>440</v>
      </c>
      <c r="C504" s="6" t="str">
        <f t="shared" si="101"/>
        <v>HC199 428</v>
      </c>
      <c r="D504" s="6" t="s">
        <v>437</v>
      </c>
      <c r="E504" s="20">
        <v>428</v>
      </c>
      <c r="F504" s="6" t="s">
        <v>154</v>
      </c>
      <c r="G504" s="6" t="s">
        <v>474</v>
      </c>
      <c r="H504" s="6" t="s">
        <v>979</v>
      </c>
      <c r="I504" s="6" t="s">
        <v>20</v>
      </c>
      <c r="J504" s="29">
        <v>33.628700000000002</v>
      </c>
      <c r="K504" s="8">
        <f t="shared" si="102"/>
        <v>1.526710078919185</v>
      </c>
      <c r="L504" s="8">
        <f t="shared" si="103"/>
        <v>8.1205500550311704</v>
      </c>
      <c r="M504" s="8"/>
      <c r="N504" s="8"/>
      <c r="O504" s="8">
        <v>7.0259999999999998</v>
      </c>
      <c r="P504" s="8">
        <f>1.544+0.982+2.448+1.699+0.868</f>
        <v>7.5410000000000004</v>
      </c>
      <c r="Q504" s="8">
        <v>2.2669999999999999</v>
      </c>
      <c r="R504" s="8">
        <f>0.888+1.029</f>
        <v>1.9169999999999998</v>
      </c>
      <c r="S504" s="8"/>
      <c r="T504" s="8"/>
      <c r="U504" s="8"/>
      <c r="V504" s="8">
        <f>P504/O504</f>
        <v>1.073299174494734</v>
      </c>
      <c r="W504" s="8">
        <f>R504/Q504</f>
        <v>0.84561093956771061</v>
      </c>
      <c r="X504" s="8"/>
      <c r="Y504" s="31">
        <f t="shared" si="104"/>
        <v>1.7975363753395025E-2</v>
      </c>
      <c r="Z504" s="31" t="str">
        <f t="shared" si="105"/>
        <v/>
      </c>
      <c r="AA504" s="31">
        <f t="shared" si="106"/>
        <v>1.7975363753395025E-2</v>
      </c>
    </row>
    <row r="505" spans="1:27" x14ac:dyDescent="0.25">
      <c r="A505" s="6" t="str">
        <f t="shared" si="100"/>
        <v>complete</v>
      </c>
      <c r="B505" s="6" t="s">
        <v>487</v>
      </c>
      <c r="C505" s="6" t="str">
        <f t="shared" si="101"/>
        <v>HC2 2098</v>
      </c>
      <c r="D505" s="6" t="s">
        <v>486</v>
      </c>
      <c r="E505" s="20">
        <v>2098</v>
      </c>
      <c r="G505" s="6" t="s">
        <v>521</v>
      </c>
      <c r="H505" s="6" t="s">
        <v>975</v>
      </c>
      <c r="I505" s="8" t="s">
        <v>20</v>
      </c>
      <c r="J505" s="29">
        <v>24.43</v>
      </c>
      <c r="K505" s="8">
        <f t="shared" si="102"/>
        <v>1.3879234669734368</v>
      </c>
      <c r="L505" s="8">
        <f t="shared" si="103"/>
        <v>7.8009820712577405</v>
      </c>
      <c r="M505" s="8">
        <v>0.79900000000000004</v>
      </c>
      <c r="N505" s="8">
        <f>0.616+1.032</f>
        <v>1.6480000000000001</v>
      </c>
      <c r="O505" s="8">
        <v>1.6220000000000001</v>
      </c>
      <c r="P505" s="8">
        <f>0.414+0.784+0.755+0.7+0.561</f>
        <v>3.2139999999999995</v>
      </c>
      <c r="Q505" s="8"/>
      <c r="R505" s="8"/>
      <c r="S505" s="8">
        <v>2.1379999999999999</v>
      </c>
      <c r="T505" s="8">
        <f>1.716+1.572</f>
        <v>3.2880000000000003</v>
      </c>
      <c r="U505" s="8">
        <f>N505/M505</f>
        <v>2.0625782227784732</v>
      </c>
      <c r="V505" s="8">
        <f>P505/O505</f>
        <v>1.981504315659679</v>
      </c>
      <c r="W505" s="8"/>
      <c r="X505" s="8">
        <f t="shared" ref="X505:X515" si="113">T505/S505</f>
        <v>1.537885874649205</v>
      </c>
      <c r="Y505" s="31">
        <f t="shared" si="104"/>
        <v>-0.26966611987998057</v>
      </c>
      <c r="Z505" s="31" t="str">
        <f t="shared" si="105"/>
        <v/>
      </c>
      <c r="AA505" s="31">
        <f t="shared" si="106"/>
        <v>-0.26966611987998057</v>
      </c>
    </row>
    <row r="506" spans="1:27" x14ac:dyDescent="0.25">
      <c r="A506" s="6" t="str">
        <f t="shared" si="100"/>
        <v>complete</v>
      </c>
      <c r="B506" s="6" t="s">
        <v>487</v>
      </c>
      <c r="C506" s="6" t="str">
        <f t="shared" si="101"/>
        <v>HC2 2098</v>
      </c>
      <c r="D506" s="6" t="s">
        <v>486</v>
      </c>
      <c r="E506" s="20">
        <v>2098</v>
      </c>
      <c r="G506" s="6" t="s">
        <v>522</v>
      </c>
      <c r="H506" s="6" t="s">
        <v>975</v>
      </c>
      <c r="I506" s="8" t="s">
        <v>20</v>
      </c>
      <c r="J506" s="29">
        <v>30.803000000000001</v>
      </c>
      <c r="K506" s="8">
        <f t="shared" si="102"/>
        <v>1.4885930158510194</v>
      </c>
      <c r="L506" s="8">
        <f t="shared" si="103"/>
        <v>8.032782273821697</v>
      </c>
      <c r="M506" s="8"/>
      <c r="N506" s="8"/>
      <c r="O506" s="8"/>
      <c r="P506" s="8"/>
      <c r="Q506" s="8">
        <v>1.268</v>
      </c>
      <c r="R506" s="8">
        <f>0.733+0.711+0.684</f>
        <v>2.1280000000000001</v>
      </c>
      <c r="S506" s="8">
        <v>3.4649999999999999</v>
      </c>
      <c r="T506" s="8">
        <f>2.745+0.142+1.161</f>
        <v>4.048</v>
      </c>
      <c r="U506" s="8"/>
      <c r="V506" s="8"/>
      <c r="W506" s="8">
        <f>R506/Q506</f>
        <v>1.6782334384858044</v>
      </c>
      <c r="X506" s="8">
        <f t="shared" si="113"/>
        <v>1.1682539682539683</v>
      </c>
      <c r="Y506" s="31">
        <f t="shared" si="104"/>
        <v>-0.15327927110802778</v>
      </c>
      <c r="Z506" s="31" t="str">
        <f t="shared" si="105"/>
        <v/>
      </c>
      <c r="AA506" s="31">
        <f t="shared" si="106"/>
        <v>-0.15327927110802778</v>
      </c>
    </row>
    <row r="507" spans="1:27" x14ac:dyDescent="0.25">
      <c r="A507" s="6" t="str">
        <f t="shared" si="100"/>
        <v>complete</v>
      </c>
      <c r="B507" s="6" t="s">
        <v>487</v>
      </c>
      <c r="C507" s="6" t="str">
        <f t="shared" si="101"/>
        <v>HC2 425</v>
      </c>
      <c r="D507" s="6" t="s">
        <v>486</v>
      </c>
      <c r="E507" s="20">
        <v>425</v>
      </c>
      <c r="G507" s="6" t="s">
        <v>524</v>
      </c>
      <c r="I507" s="8" t="s">
        <v>20</v>
      </c>
      <c r="J507" s="29">
        <v>29.019909999999999</v>
      </c>
      <c r="K507" s="8">
        <f t="shared" si="102"/>
        <v>1.4626960612180513</v>
      </c>
      <c r="L507" s="8">
        <f t="shared" si="103"/>
        <v>7.9731523321298825</v>
      </c>
      <c r="M507" s="8"/>
      <c r="N507" s="8"/>
      <c r="O507" s="8"/>
      <c r="P507" s="8"/>
      <c r="Q507" s="8">
        <v>1.181</v>
      </c>
      <c r="R507" s="8">
        <f>0.554+0.81+0.439+0.917+0.258+0.554</f>
        <v>3.532</v>
      </c>
      <c r="S507" s="8">
        <v>3.593</v>
      </c>
      <c r="T507" s="8">
        <f>1.415+2.396+1.891+0.576</f>
        <v>6.2779999999999996</v>
      </c>
      <c r="U507" s="8"/>
      <c r="V507" s="8"/>
      <c r="W507" s="8">
        <f>R507/Q507</f>
        <v>2.9906858594411516</v>
      </c>
      <c r="X507" s="8">
        <f t="shared" si="113"/>
        <v>1.7472863902031728</v>
      </c>
      <c r="Y507" s="31">
        <f t="shared" si="104"/>
        <v>-0.37456251706264798</v>
      </c>
      <c r="Z507" s="31" t="str">
        <f t="shared" si="105"/>
        <v/>
      </c>
      <c r="AA507" s="31">
        <f t="shared" si="106"/>
        <v>-0.37456251706264798</v>
      </c>
    </row>
    <row r="508" spans="1:27" x14ac:dyDescent="0.25">
      <c r="A508" s="6" t="str">
        <f t="shared" si="100"/>
        <v>complete</v>
      </c>
      <c r="B508" s="6" t="s">
        <v>487</v>
      </c>
      <c r="C508" s="6" t="str">
        <f t="shared" si="101"/>
        <v>HC2 428</v>
      </c>
      <c r="D508" s="6" t="s">
        <v>486</v>
      </c>
      <c r="E508" s="20">
        <v>428</v>
      </c>
      <c r="F508" s="6" t="s">
        <v>154</v>
      </c>
      <c r="G508" s="6" t="s">
        <v>510</v>
      </c>
      <c r="H508" s="6" t="s">
        <v>979</v>
      </c>
      <c r="I508" s="6" t="s">
        <v>20</v>
      </c>
      <c r="J508" s="29">
        <v>35.531999999999996</v>
      </c>
      <c r="K508" s="8">
        <f t="shared" si="102"/>
        <v>1.5506196534369239</v>
      </c>
      <c r="L508" s="8">
        <f t="shared" si="103"/>
        <v>8.1756038848955459</v>
      </c>
      <c r="M508" s="8">
        <v>3.8029999999999999</v>
      </c>
      <c r="N508" s="8">
        <f>1.989+1.64</f>
        <v>3.629</v>
      </c>
      <c r="O508" s="8"/>
      <c r="P508" s="8"/>
      <c r="Q508" s="8">
        <v>0.97499999999999998</v>
      </c>
      <c r="R508" s="8">
        <f>0.763+0.605</f>
        <v>1.3679999999999999</v>
      </c>
      <c r="S508" s="8">
        <v>3.016</v>
      </c>
      <c r="T508" s="8">
        <f>1.802+1.378</f>
        <v>3.1799999999999997</v>
      </c>
      <c r="U508" s="8">
        <f>N508/M508</f>
        <v>0.95424664738364451</v>
      </c>
      <c r="V508" s="8"/>
      <c r="W508" s="8">
        <f>R508/Q508</f>
        <v>1.4030769230769229</v>
      </c>
      <c r="X508" s="8">
        <f t="shared" si="113"/>
        <v>1.0543766578249336</v>
      </c>
      <c r="Y508" s="31">
        <f t="shared" si="104"/>
        <v>-5.5849609827154152E-2</v>
      </c>
      <c r="Z508" s="31" t="str">
        <f t="shared" si="105"/>
        <v/>
      </c>
      <c r="AA508" s="31">
        <f t="shared" si="106"/>
        <v>-5.5849609827154152E-2</v>
      </c>
    </row>
    <row r="509" spans="1:27" x14ac:dyDescent="0.25">
      <c r="A509" s="6" t="str">
        <f t="shared" si="100"/>
        <v>complete</v>
      </c>
      <c r="B509" s="6" t="s">
        <v>487</v>
      </c>
      <c r="C509" s="6" t="str">
        <f t="shared" si="101"/>
        <v>HC2 428</v>
      </c>
      <c r="D509" s="6" t="s">
        <v>486</v>
      </c>
      <c r="E509" s="20">
        <v>428</v>
      </c>
      <c r="F509" s="6" t="s">
        <v>154</v>
      </c>
      <c r="G509" s="6" t="s">
        <v>511</v>
      </c>
      <c r="H509" s="6" t="s">
        <v>979</v>
      </c>
      <c r="I509" s="6" t="s">
        <v>20</v>
      </c>
      <c r="J509" s="29">
        <v>32.036999999999999</v>
      </c>
      <c r="K509" s="8">
        <f t="shared" si="102"/>
        <v>1.5056518412309912</v>
      </c>
      <c r="L509" s="8">
        <f t="shared" si="103"/>
        <v>8.0720616708456099</v>
      </c>
      <c r="M509" s="8">
        <v>0.79800000000000004</v>
      </c>
      <c r="N509" s="8">
        <f>0.658+0.507</f>
        <v>1.165</v>
      </c>
      <c r="O509" s="8">
        <v>2.3260000000000001</v>
      </c>
      <c r="P509" s="8">
        <f>1.07+1.376</f>
        <v>2.4459999999999997</v>
      </c>
      <c r="Q509" s="8">
        <v>2.5249999999999999</v>
      </c>
      <c r="R509" s="8">
        <f>1.245+1.242</f>
        <v>2.4870000000000001</v>
      </c>
      <c r="S509" s="8">
        <v>1.752</v>
      </c>
      <c r="T509" s="8">
        <f>0.919+0.891</f>
        <v>1.81</v>
      </c>
      <c r="U509" s="8">
        <f>N509/M509</f>
        <v>1.4598997493734336</v>
      </c>
      <c r="V509" s="8">
        <f>P509/O509</f>
        <v>1.051590713671539</v>
      </c>
      <c r="W509" s="8">
        <f>R509/Q509</f>
        <v>0.98495049504950505</v>
      </c>
      <c r="X509" s="8">
        <f t="shared" si="113"/>
        <v>1.0331050228310503</v>
      </c>
      <c r="Y509" s="31">
        <f t="shared" si="104"/>
        <v>-5.3994681355849651E-2</v>
      </c>
      <c r="Z509" s="31" t="str">
        <f t="shared" si="105"/>
        <v/>
      </c>
      <c r="AA509" s="31">
        <f t="shared" si="106"/>
        <v>-5.3994681355849651E-2</v>
      </c>
    </row>
    <row r="510" spans="1:27" x14ac:dyDescent="0.25">
      <c r="A510" s="6" t="str">
        <f t="shared" si="100"/>
        <v>fragment</v>
      </c>
      <c r="B510" s="6" t="s">
        <v>487</v>
      </c>
      <c r="C510" s="6" t="str">
        <f t="shared" si="101"/>
        <v>HC2 428</v>
      </c>
      <c r="D510" s="6" t="s">
        <v>486</v>
      </c>
      <c r="E510" s="20">
        <v>428</v>
      </c>
      <c r="F510" s="6" t="s">
        <v>154</v>
      </c>
      <c r="G510" s="6" t="s">
        <v>512</v>
      </c>
      <c r="H510" s="6" t="s">
        <v>979</v>
      </c>
      <c r="I510" s="6" t="s">
        <v>20</v>
      </c>
      <c r="J510" s="29"/>
      <c r="K510" s="8" t="str">
        <f t="shared" si="102"/>
        <v/>
      </c>
      <c r="L510" s="8" t="str">
        <f t="shared" si="103"/>
        <v/>
      </c>
      <c r="M510" s="8">
        <v>1.754</v>
      </c>
      <c r="N510" s="8">
        <f>1.036+1.4</f>
        <v>2.4359999999999999</v>
      </c>
      <c r="O510" s="8"/>
      <c r="P510" s="8"/>
      <c r="Q510" s="8"/>
      <c r="R510" s="8"/>
      <c r="S510" s="8">
        <v>4.0359999999999996</v>
      </c>
      <c r="T510" s="8">
        <f>1.554+2.265</f>
        <v>3.819</v>
      </c>
      <c r="U510" s="8">
        <f>N510/M510</f>
        <v>1.3888255416191562</v>
      </c>
      <c r="V510" s="8"/>
      <c r="W510" s="8"/>
      <c r="X510" s="8">
        <f t="shared" si="113"/>
        <v>0.94623389494549071</v>
      </c>
      <c r="Y510" s="31">
        <f t="shared" si="104"/>
        <v>-6.7267943903471045E-2</v>
      </c>
      <c r="Z510" s="31">
        <f t="shared" si="105"/>
        <v>-6.7267943903471045E-2</v>
      </c>
      <c r="AA510" s="31" t="str">
        <f t="shared" si="106"/>
        <v/>
      </c>
    </row>
    <row r="511" spans="1:27" x14ac:dyDescent="0.25">
      <c r="A511" s="6" t="str">
        <f t="shared" si="100"/>
        <v>fragment</v>
      </c>
      <c r="B511" s="6" t="s">
        <v>487</v>
      </c>
      <c r="C511" s="6" t="str">
        <f t="shared" si="101"/>
        <v>HC2 428</v>
      </c>
      <c r="D511" s="6" t="s">
        <v>486</v>
      </c>
      <c r="E511" s="20">
        <v>428</v>
      </c>
      <c r="F511" s="6" t="s">
        <v>154</v>
      </c>
      <c r="G511" s="6" t="s">
        <v>513</v>
      </c>
      <c r="H511" s="6" t="s">
        <v>979</v>
      </c>
      <c r="I511" s="6" t="s">
        <v>20</v>
      </c>
      <c r="J511" s="29"/>
      <c r="K511" s="8" t="str">
        <f t="shared" si="102"/>
        <v/>
      </c>
      <c r="L511" s="8" t="str">
        <f t="shared" si="103"/>
        <v/>
      </c>
      <c r="M511" s="8"/>
      <c r="N511" s="8"/>
      <c r="O511" s="8"/>
      <c r="P511" s="8"/>
      <c r="Q511" s="8">
        <v>3.3010000000000002</v>
      </c>
      <c r="R511" s="8">
        <f>1.214+1.865+1.007</f>
        <v>4.0859999999999994</v>
      </c>
      <c r="S511" s="8">
        <v>2.2200000000000002</v>
      </c>
      <c r="T511" s="8">
        <f>1.671+0.987</f>
        <v>2.6579999999999999</v>
      </c>
      <c r="U511" s="8"/>
      <c r="V511" s="8"/>
      <c r="W511" s="8">
        <f>R511/Q511</f>
        <v>1.2378067252347771</v>
      </c>
      <c r="X511" s="8">
        <f t="shared" si="113"/>
        <v>1.1972972972972971</v>
      </c>
      <c r="Y511" s="31">
        <f t="shared" si="104"/>
        <v>-8.5487522431533888E-2</v>
      </c>
      <c r="Z511" s="31">
        <f t="shared" si="105"/>
        <v>-8.5487522431533888E-2</v>
      </c>
      <c r="AA511" s="31" t="str">
        <f t="shared" si="106"/>
        <v/>
      </c>
    </row>
    <row r="512" spans="1:27" x14ac:dyDescent="0.25">
      <c r="A512" s="6" t="str">
        <f t="shared" si="100"/>
        <v>fragment</v>
      </c>
      <c r="B512" s="6" t="s">
        <v>487</v>
      </c>
      <c r="C512" s="6" t="str">
        <f t="shared" si="101"/>
        <v>HC2 428</v>
      </c>
      <c r="D512" s="6" t="s">
        <v>486</v>
      </c>
      <c r="E512" s="20">
        <v>428</v>
      </c>
      <c r="F512" s="6" t="s">
        <v>154</v>
      </c>
      <c r="G512" s="6" t="s">
        <v>514</v>
      </c>
      <c r="H512" s="6" t="s">
        <v>979</v>
      </c>
      <c r="I512" s="6" t="s">
        <v>20</v>
      </c>
      <c r="J512" s="29"/>
      <c r="K512" s="8" t="str">
        <f t="shared" si="102"/>
        <v/>
      </c>
      <c r="L512" s="8" t="str">
        <f t="shared" si="103"/>
        <v/>
      </c>
      <c r="M512" s="8"/>
      <c r="N512" s="8"/>
      <c r="O512" s="8">
        <v>10.489000000000001</v>
      </c>
      <c r="P512" s="8">
        <f>2.187+0.236+3.602+1.576</f>
        <v>7.6010000000000009</v>
      </c>
      <c r="Q512" s="8"/>
      <c r="R512" s="8"/>
      <c r="S512" s="8">
        <v>10.552</v>
      </c>
      <c r="T512" s="8">
        <f>1.06+3.295+2.178</f>
        <v>6.5330000000000004</v>
      </c>
      <c r="U512" s="8"/>
      <c r="V512" s="8">
        <f>P512/O512</f>
        <v>0.72466393364477077</v>
      </c>
      <c r="W512" s="8"/>
      <c r="X512" s="8">
        <f t="shared" si="113"/>
        <v>0.61912433661865052</v>
      </c>
      <c r="Y512" s="31">
        <f t="shared" si="104"/>
        <v>0.1726991497884488</v>
      </c>
      <c r="Z512" s="31">
        <f t="shared" si="105"/>
        <v>0.1726991497884488</v>
      </c>
      <c r="AA512" s="31" t="str">
        <f t="shared" si="106"/>
        <v/>
      </c>
    </row>
    <row r="513" spans="1:27" x14ac:dyDescent="0.25">
      <c r="A513" s="6" t="str">
        <f t="shared" si="100"/>
        <v>complete</v>
      </c>
      <c r="B513" s="6" t="s">
        <v>487</v>
      </c>
      <c r="C513" s="6" t="str">
        <f t="shared" si="101"/>
        <v>HC2 428</v>
      </c>
      <c r="D513" s="6" t="s">
        <v>486</v>
      </c>
      <c r="E513" s="20">
        <v>428</v>
      </c>
      <c r="F513" s="6" t="s">
        <v>154</v>
      </c>
      <c r="G513" s="6" t="s">
        <v>515</v>
      </c>
      <c r="H513" s="6" t="s">
        <v>979</v>
      </c>
      <c r="I513" s="6" t="s">
        <v>20</v>
      </c>
      <c r="J513" s="29">
        <v>26.802</v>
      </c>
      <c r="K513" s="8">
        <f t="shared" si="102"/>
        <v>1.4281672028554822</v>
      </c>
      <c r="L513" s="8">
        <f t="shared" si="103"/>
        <v>7.8936466975861279</v>
      </c>
      <c r="M513" s="8">
        <v>1.782</v>
      </c>
      <c r="N513" s="8">
        <f>0.976+1.467+0.683</f>
        <v>3.1260000000000003</v>
      </c>
      <c r="O513" s="8">
        <v>1.3660000000000001</v>
      </c>
      <c r="P513" s="8">
        <f>0.872+1.226</f>
        <v>2.0979999999999999</v>
      </c>
      <c r="Q513" s="8"/>
      <c r="R513" s="8"/>
      <c r="S513" s="8">
        <v>1.403</v>
      </c>
      <c r="T513" s="8">
        <f>0.814+1.067+0.56</f>
        <v>2.4409999999999998</v>
      </c>
      <c r="U513" s="8">
        <f>N513/M513</f>
        <v>1.7542087542087543</v>
      </c>
      <c r="V513" s="8">
        <f>P513/O513</f>
        <v>1.535871156661786</v>
      </c>
      <c r="W513" s="8"/>
      <c r="X513" s="8">
        <f t="shared" si="113"/>
        <v>1.7398431931575196</v>
      </c>
      <c r="Y513" s="31">
        <f t="shared" si="104"/>
        <v>-0.22444009102183893</v>
      </c>
      <c r="Z513" s="31" t="str">
        <f t="shared" si="105"/>
        <v/>
      </c>
      <c r="AA513" s="31">
        <f t="shared" si="106"/>
        <v>-0.22444009102183893</v>
      </c>
    </row>
    <row r="514" spans="1:27" x14ac:dyDescent="0.25">
      <c r="A514" s="6" t="str">
        <f t="shared" ref="A514:A577" si="114">IF(J514&gt;0,"complete","fragment")</f>
        <v>fragment</v>
      </c>
      <c r="B514" s="6" t="s">
        <v>487</v>
      </c>
      <c r="C514" s="6" t="str">
        <f t="shared" ref="C514:C577" si="115">D514&amp;" "&amp;E514</f>
        <v>HC2 428</v>
      </c>
      <c r="D514" s="6" t="s">
        <v>486</v>
      </c>
      <c r="E514" s="20">
        <v>428</v>
      </c>
      <c r="F514" s="6" t="s">
        <v>154</v>
      </c>
      <c r="G514" s="6" t="s">
        <v>516</v>
      </c>
      <c r="H514" s="6" t="s">
        <v>979</v>
      </c>
      <c r="I514" s="6" t="s">
        <v>20</v>
      </c>
      <c r="J514" s="29"/>
      <c r="K514" s="8" t="str">
        <f t="shared" ref="K514:K577" si="116">IF(J514&gt;0,LOG(J514),"")</f>
        <v/>
      </c>
      <c r="L514" s="8" t="str">
        <f t="shared" ref="L514:L577" si="117">IF(J514&gt;0,LN(J514*100),"")</f>
        <v/>
      </c>
      <c r="M514" s="8"/>
      <c r="N514" s="8"/>
      <c r="O514" s="8">
        <v>4.3929999999999998</v>
      </c>
      <c r="P514" s="8">
        <f>0.785+2.749+2.365+0.277+0.805+0.768+0.795</f>
        <v>8.5440000000000005</v>
      </c>
      <c r="Q514" s="8"/>
      <c r="R514" s="8"/>
      <c r="S514" s="8">
        <v>3.0659999999999998</v>
      </c>
      <c r="T514" s="8">
        <f>1.904+1.654+0.801</f>
        <v>4.359</v>
      </c>
      <c r="U514" s="8"/>
      <c r="V514" s="8">
        <f>P514/O514</f>
        <v>1.94491236057364</v>
      </c>
      <c r="W514" s="8"/>
      <c r="X514" s="8">
        <f t="shared" si="113"/>
        <v>1.4217221135029354</v>
      </c>
      <c r="Y514" s="31">
        <f t="shared" ref="Y514:Y577" si="118">IF(COUNT(U514:X514)&gt;0,LOG(1/AVERAGE(U514:X514)),"")</f>
        <v>-0.22616597058778717</v>
      </c>
      <c r="Z514" s="31">
        <f t="shared" ref="Z514:Z577" si="119">IF(A514="fragment",IF(ISNUMBER(Y514)=TRUE,Y514,""),"")</f>
        <v>-0.22616597058778717</v>
      </c>
      <c r="AA514" s="31" t="str">
        <f t="shared" ref="AA514:AA577" si="120">IF(A514="complete",IF(ISNUMBER(Y514)=TRUE,Y514,""),"")</f>
        <v/>
      </c>
    </row>
    <row r="515" spans="1:27" x14ac:dyDescent="0.25">
      <c r="A515" s="6" t="str">
        <f t="shared" si="114"/>
        <v>fragment</v>
      </c>
      <c r="B515" s="6" t="s">
        <v>487</v>
      </c>
      <c r="C515" s="6" t="str">
        <f t="shared" si="115"/>
        <v>HC2 428</v>
      </c>
      <c r="D515" s="6" t="s">
        <v>486</v>
      </c>
      <c r="E515" s="20">
        <v>428</v>
      </c>
      <c r="F515" s="6" t="s">
        <v>154</v>
      </c>
      <c r="G515" s="6" t="s">
        <v>517</v>
      </c>
      <c r="H515" s="6" t="s">
        <v>979</v>
      </c>
      <c r="I515" s="6" t="s">
        <v>20</v>
      </c>
      <c r="J515" s="29"/>
      <c r="K515" s="8" t="str">
        <f t="shared" si="116"/>
        <v/>
      </c>
      <c r="L515" s="8" t="str">
        <f t="shared" si="117"/>
        <v/>
      </c>
      <c r="M515" s="8"/>
      <c r="N515" s="8"/>
      <c r="O515" s="8"/>
      <c r="P515" s="8"/>
      <c r="Q515" s="8"/>
      <c r="R515" s="8"/>
      <c r="S515" s="8">
        <v>2.581</v>
      </c>
      <c r="T515" s="8">
        <f>0.496+1.136+1.012</f>
        <v>2.6440000000000001</v>
      </c>
      <c r="U515" s="8"/>
      <c r="V515" s="8"/>
      <c r="W515" s="8"/>
      <c r="X515" s="8">
        <f t="shared" si="113"/>
        <v>1.0244091437427354</v>
      </c>
      <c r="Y515" s="31">
        <f t="shared" si="118"/>
        <v>-1.047344626973376E-2</v>
      </c>
      <c r="Z515" s="31">
        <f t="shared" si="119"/>
        <v>-1.047344626973376E-2</v>
      </c>
      <c r="AA515" s="31" t="str">
        <f t="shared" si="120"/>
        <v/>
      </c>
    </row>
    <row r="516" spans="1:27" x14ac:dyDescent="0.25">
      <c r="A516" s="6" t="str">
        <f t="shared" si="114"/>
        <v>complete</v>
      </c>
      <c r="B516" s="6" t="s">
        <v>487</v>
      </c>
      <c r="C516" s="6" t="str">
        <f t="shared" si="115"/>
        <v>HC2 4301</v>
      </c>
      <c r="D516" s="6" t="s">
        <v>486</v>
      </c>
      <c r="E516" s="20">
        <v>4301</v>
      </c>
      <c r="F516" s="6" t="s">
        <v>518</v>
      </c>
      <c r="G516" s="6" t="s">
        <v>519</v>
      </c>
      <c r="I516" s="6" t="s">
        <v>20</v>
      </c>
      <c r="J516" s="29">
        <v>31.859000000000002</v>
      </c>
      <c r="K516" s="8">
        <f t="shared" si="116"/>
        <v>1.5032321399115121</v>
      </c>
      <c r="L516" s="8">
        <f t="shared" si="117"/>
        <v>8.0664901026578786</v>
      </c>
      <c r="M516" s="8">
        <v>2.2570000000000001</v>
      </c>
      <c r="N516" s="8">
        <f>1.183+1.551+0.451</f>
        <v>3.1850000000000001</v>
      </c>
      <c r="O516" s="8">
        <v>3.6949999999999998</v>
      </c>
      <c r="P516" s="8">
        <f>2.451+0.158+0.475+2.181+0.55</f>
        <v>5.8150000000000004</v>
      </c>
      <c r="Q516" s="8">
        <v>0.47599999999999998</v>
      </c>
      <c r="R516" s="8">
        <f>0.242+0.468+0.369</f>
        <v>1.079</v>
      </c>
      <c r="S516" s="8"/>
      <c r="T516" s="8"/>
      <c r="U516" s="8">
        <f>N516/M516</f>
        <v>1.41116526362428</v>
      </c>
      <c r="V516" s="8">
        <f>P516/O516</f>
        <v>1.5737483085250341</v>
      </c>
      <c r="W516" s="8">
        <f>R516/Q516</f>
        <v>2.2668067226890756</v>
      </c>
      <c r="X516" s="8"/>
      <c r="Y516" s="31">
        <f t="shared" si="118"/>
        <v>-0.2431803329104533</v>
      </c>
      <c r="Z516" s="31" t="str">
        <f t="shared" si="119"/>
        <v/>
      </c>
      <c r="AA516" s="31">
        <f t="shared" si="120"/>
        <v>-0.2431803329104533</v>
      </c>
    </row>
    <row r="517" spans="1:27" x14ac:dyDescent="0.25">
      <c r="A517" s="6" t="str">
        <f t="shared" si="114"/>
        <v>complete</v>
      </c>
      <c r="B517" s="6" t="s">
        <v>487</v>
      </c>
      <c r="C517" s="6" t="str">
        <f t="shared" si="115"/>
        <v>HC2 900</v>
      </c>
      <c r="D517" s="6" t="s">
        <v>486</v>
      </c>
      <c r="E517" s="20">
        <v>900</v>
      </c>
      <c r="F517" s="6" t="s">
        <v>180</v>
      </c>
      <c r="G517" s="6" t="s">
        <v>488</v>
      </c>
      <c r="H517" s="6" t="s">
        <v>977</v>
      </c>
      <c r="I517" s="6" t="s">
        <v>20</v>
      </c>
      <c r="J517" s="29">
        <v>11.545999999999999</v>
      </c>
      <c r="K517" s="8">
        <f t="shared" si="116"/>
        <v>1.0624315531626123</v>
      </c>
      <c r="L517" s="8">
        <f t="shared" si="117"/>
        <v>7.0515092426268335</v>
      </c>
      <c r="M517" s="8">
        <v>0.96499999999999997</v>
      </c>
      <c r="N517" s="8">
        <f>0.642+0.248+1.289</f>
        <v>2.1789999999999998</v>
      </c>
      <c r="O517" s="8">
        <v>1.194</v>
      </c>
      <c r="P517" s="8">
        <f>0.794+1.002+0.72</f>
        <v>2.516</v>
      </c>
      <c r="Q517" s="8"/>
      <c r="R517" s="8"/>
      <c r="S517" s="8">
        <v>0.71299999999999997</v>
      </c>
      <c r="T517" s="8">
        <f>0.647+0.512+0.122</f>
        <v>1.2810000000000001</v>
      </c>
      <c r="U517" s="8">
        <f>N517/M517</f>
        <v>2.2580310880829013</v>
      </c>
      <c r="V517" s="8">
        <f>P517/O517</f>
        <v>2.1072026800670018</v>
      </c>
      <c r="W517" s="8"/>
      <c r="X517" s="8">
        <f>T517/S517</f>
        <v>1.7966339410939693</v>
      </c>
      <c r="Y517" s="31">
        <f t="shared" si="118"/>
        <v>-0.31259111537905759</v>
      </c>
      <c r="Z517" s="31" t="str">
        <f t="shared" si="119"/>
        <v/>
      </c>
      <c r="AA517" s="31">
        <f t="shared" si="120"/>
        <v>-0.31259111537905759</v>
      </c>
    </row>
    <row r="518" spans="1:27" x14ac:dyDescent="0.25">
      <c r="A518" s="6" t="str">
        <f t="shared" si="114"/>
        <v>complete</v>
      </c>
      <c r="B518" s="6" t="s">
        <v>487</v>
      </c>
      <c r="C518" s="6" t="str">
        <f t="shared" si="115"/>
        <v>HC2 900</v>
      </c>
      <c r="D518" s="6" t="s">
        <v>486</v>
      </c>
      <c r="E518" s="20">
        <v>900</v>
      </c>
      <c r="F518" s="6" t="s">
        <v>180</v>
      </c>
      <c r="G518" s="6" t="s">
        <v>489</v>
      </c>
      <c r="H518" s="6" t="s">
        <v>977</v>
      </c>
      <c r="I518" s="6" t="s">
        <v>20</v>
      </c>
      <c r="J518" s="29">
        <f>3.546*2</f>
        <v>7.0919999999999996</v>
      </c>
      <c r="K518" s="8">
        <f t="shared" si="116"/>
        <v>0.85076872692888017</v>
      </c>
      <c r="L518" s="8">
        <f t="shared" si="117"/>
        <v>6.5641375742000525</v>
      </c>
      <c r="M518" s="8"/>
      <c r="N518" s="8"/>
      <c r="O518" s="8">
        <v>0.82900000000000007</v>
      </c>
      <c r="P518" s="8">
        <f>0.535+0.833</f>
        <v>1.3679999999999999</v>
      </c>
      <c r="Q518" s="8"/>
      <c r="R518" s="8"/>
      <c r="S518" s="8"/>
      <c r="T518" s="8"/>
      <c r="U518" s="8"/>
      <c r="V518" s="8">
        <f>P518/O518</f>
        <v>1.6501809408926416</v>
      </c>
      <c r="W518" s="8"/>
      <c r="X518" s="8"/>
      <c r="Y518" s="31">
        <f t="shared" si="118"/>
        <v>-0.21753156683382385</v>
      </c>
      <c r="Z518" s="31" t="str">
        <f t="shared" si="119"/>
        <v/>
      </c>
      <c r="AA518" s="31">
        <f t="shared" si="120"/>
        <v>-0.21753156683382385</v>
      </c>
    </row>
    <row r="519" spans="1:27" x14ac:dyDescent="0.25">
      <c r="A519" s="6" t="str">
        <f t="shared" si="114"/>
        <v>fragment</v>
      </c>
      <c r="B519" s="6" t="s">
        <v>487</v>
      </c>
      <c r="C519" s="6" t="str">
        <f t="shared" si="115"/>
        <v>HC2 900</v>
      </c>
      <c r="D519" s="6" t="s">
        <v>486</v>
      </c>
      <c r="E519" s="20">
        <v>900</v>
      </c>
      <c r="F519" s="6" t="s">
        <v>180</v>
      </c>
      <c r="G519" s="6" t="s">
        <v>490</v>
      </c>
      <c r="H519" s="6" t="s">
        <v>977</v>
      </c>
      <c r="I519" s="6" t="s">
        <v>20</v>
      </c>
      <c r="J519" s="29"/>
      <c r="K519" s="8" t="str">
        <f t="shared" si="116"/>
        <v/>
      </c>
      <c r="L519" s="8" t="str">
        <f t="shared" si="117"/>
        <v/>
      </c>
      <c r="M519" s="8"/>
      <c r="N519" s="8"/>
      <c r="O519" s="8"/>
      <c r="P519" s="8"/>
      <c r="Q519" s="8">
        <v>4.8870000000000005</v>
      </c>
      <c r="R519" s="8">
        <f>0.364+1.068+1.816+1.629+1.449</f>
        <v>6.3260000000000005</v>
      </c>
      <c r="S519" s="8">
        <v>4.3499999999999996</v>
      </c>
      <c r="T519" s="8">
        <f>1.726+1.76+1.459</f>
        <v>4.9450000000000003</v>
      </c>
      <c r="U519" s="8"/>
      <c r="V519" s="8"/>
      <c r="W519" s="8">
        <f>R519/Q519</f>
        <v>1.2944546756701452</v>
      </c>
      <c r="X519" s="8">
        <f t="shared" ref="X519:X525" si="121">T519/S519</f>
        <v>1.1367816091954024</v>
      </c>
      <c r="Y519" s="31">
        <f t="shared" si="118"/>
        <v>-8.4797173062763423E-2</v>
      </c>
      <c r="Z519" s="31">
        <f t="shared" si="119"/>
        <v>-8.4797173062763423E-2</v>
      </c>
      <c r="AA519" s="31" t="str">
        <f t="shared" si="120"/>
        <v/>
      </c>
    </row>
    <row r="520" spans="1:27" x14ac:dyDescent="0.25">
      <c r="A520" s="6" t="str">
        <f t="shared" si="114"/>
        <v>fragment</v>
      </c>
      <c r="B520" s="6" t="s">
        <v>487</v>
      </c>
      <c r="C520" s="6" t="str">
        <f t="shared" si="115"/>
        <v>HC2 900</v>
      </c>
      <c r="D520" s="6" t="s">
        <v>486</v>
      </c>
      <c r="E520" s="20">
        <v>900</v>
      </c>
      <c r="F520" s="6" t="s">
        <v>180</v>
      </c>
      <c r="G520" s="6" t="s">
        <v>491</v>
      </c>
      <c r="H520" s="6" t="s">
        <v>977</v>
      </c>
      <c r="I520" s="6" t="s">
        <v>20</v>
      </c>
      <c r="J520" s="29"/>
      <c r="K520" s="8" t="str">
        <f t="shared" si="116"/>
        <v/>
      </c>
      <c r="L520" s="8" t="str">
        <f t="shared" si="117"/>
        <v/>
      </c>
      <c r="M520" s="8"/>
      <c r="N520" s="8"/>
      <c r="O520" s="8">
        <v>8.9629999999999992</v>
      </c>
      <c r="P520" s="8">
        <f>2.553+2.49+2.256</f>
        <v>7.2989999999999995</v>
      </c>
      <c r="Q520" s="8"/>
      <c r="R520" s="8"/>
      <c r="S520" s="8">
        <v>7.0650000000000004</v>
      </c>
      <c r="T520" s="8">
        <f>1.548+1.934+0.744</f>
        <v>4.226</v>
      </c>
      <c r="U520" s="8"/>
      <c r="V520" s="8">
        <f>P520/O520</f>
        <v>0.81434787459555957</v>
      </c>
      <c r="W520" s="8"/>
      <c r="X520" s="8">
        <f t="shared" si="121"/>
        <v>0.59815994338287326</v>
      </c>
      <c r="Y520" s="31">
        <f t="shared" si="118"/>
        <v>0.1510391354234808</v>
      </c>
      <c r="Z520" s="31">
        <f t="shared" si="119"/>
        <v>0.1510391354234808</v>
      </c>
      <c r="AA520" s="31" t="str">
        <f t="shared" si="120"/>
        <v/>
      </c>
    </row>
    <row r="521" spans="1:27" x14ac:dyDescent="0.25">
      <c r="A521" s="6" t="str">
        <f t="shared" si="114"/>
        <v>fragment</v>
      </c>
      <c r="B521" s="6" t="s">
        <v>487</v>
      </c>
      <c r="C521" s="6" t="str">
        <f t="shared" si="115"/>
        <v>HC2 900</v>
      </c>
      <c r="D521" s="6" t="s">
        <v>486</v>
      </c>
      <c r="E521" s="20">
        <v>900</v>
      </c>
      <c r="F521" s="6" t="s">
        <v>180</v>
      </c>
      <c r="G521" s="6" t="s">
        <v>492</v>
      </c>
      <c r="H521" s="6" t="s">
        <v>977</v>
      </c>
      <c r="I521" s="6" t="s">
        <v>20</v>
      </c>
      <c r="J521" s="29"/>
      <c r="K521" s="8" t="str">
        <f t="shared" si="116"/>
        <v/>
      </c>
      <c r="L521" s="8" t="str">
        <f t="shared" si="117"/>
        <v/>
      </c>
      <c r="M521" s="8"/>
      <c r="N521" s="8"/>
      <c r="O521" s="8"/>
      <c r="P521" s="8"/>
      <c r="Q521" s="8">
        <v>2.9609999999999999</v>
      </c>
      <c r="R521" s="8">
        <f>1.122+1.698</f>
        <v>2.8200000000000003</v>
      </c>
      <c r="S521" s="8">
        <v>2.718</v>
      </c>
      <c r="T521" s="8">
        <f>0.702+1.974</f>
        <v>2.6760000000000002</v>
      </c>
      <c r="U521" s="8"/>
      <c r="V521" s="8"/>
      <c r="W521" s="8">
        <f>R521/Q521</f>
        <v>0.95238095238095255</v>
      </c>
      <c r="X521" s="8">
        <f t="shared" si="121"/>
        <v>0.98454746136865345</v>
      </c>
      <c r="Y521" s="31">
        <f t="shared" si="118"/>
        <v>1.3916425584019759E-2</v>
      </c>
      <c r="Z521" s="31">
        <f t="shared" si="119"/>
        <v>1.3916425584019759E-2</v>
      </c>
      <c r="AA521" s="31" t="str">
        <f t="shared" si="120"/>
        <v/>
      </c>
    </row>
    <row r="522" spans="1:27" x14ac:dyDescent="0.25">
      <c r="A522" s="6" t="str">
        <f t="shared" si="114"/>
        <v>complete</v>
      </c>
      <c r="B522" s="6" t="s">
        <v>487</v>
      </c>
      <c r="C522" s="6" t="str">
        <f t="shared" si="115"/>
        <v>HC2 900</v>
      </c>
      <c r="D522" s="6" t="s">
        <v>486</v>
      </c>
      <c r="E522" s="20">
        <v>900</v>
      </c>
      <c r="F522" s="6" t="s">
        <v>180</v>
      </c>
      <c r="G522" s="6" t="s">
        <v>493</v>
      </c>
      <c r="H522" s="6" t="s">
        <v>977</v>
      </c>
      <c r="I522" s="6" t="s">
        <v>20</v>
      </c>
      <c r="J522" s="29">
        <f>2*22.083</f>
        <v>44.165999999999997</v>
      </c>
      <c r="K522" s="8">
        <f t="shared" si="116"/>
        <v>1.6450880681152831</v>
      </c>
      <c r="L522" s="8">
        <f t="shared" si="117"/>
        <v>8.3931254482927145</v>
      </c>
      <c r="M522" s="8"/>
      <c r="N522" s="8"/>
      <c r="O522" s="8">
        <v>4.673</v>
      </c>
      <c r="P522" s="8">
        <f>1.924+0.769+1.152</f>
        <v>3.8449999999999998</v>
      </c>
      <c r="Q522" s="8"/>
      <c r="R522" s="8"/>
      <c r="S522" s="8">
        <v>3.343</v>
      </c>
      <c r="T522" s="8">
        <f>1.361+0.837</f>
        <v>2.198</v>
      </c>
      <c r="U522" s="8"/>
      <c r="V522" s="8">
        <f>P522/O522</f>
        <v>0.82281189813824085</v>
      </c>
      <c r="W522" s="8"/>
      <c r="X522" s="8">
        <f t="shared" si="121"/>
        <v>0.65749326951839659</v>
      </c>
      <c r="Y522" s="31">
        <f t="shared" si="118"/>
        <v>0.13067874042613833</v>
      </c>
      <c r="Z522" s="31" t="str">
        <f t="shared" si="119"/>
        <v/>
      </c>
      <c r="AA522" s="31">
        <f t="shared" si="120"/>
        <v>0.13067874042613833</v>
      </c>
    </row>
    <row r="523" spans="1:27" x14ac:dyDescent="0.25">
      <c r="A523" s="6" t="str">
        <f t="shared" si="114"/>
        <v>fragment</v>
      </c>
      <c r="B523" s="6" t="s">
        <v>487</v>
      </c>
      <c r="C523" s="6" t="str">
        <f t="shared" si="115"/>
        <v>HC2 900</v>
      </c>
      <c r="D523" s="6" t="s">
        <v>486</v>
      </c>
      <c r="E523" s="20">
        <v>900</v>
      </c>
      <c r="F523" s="6" t="s">
        <v>180</v>
      </c>
      <c r="G523" s="6" t="s">
        <v>494</v>
      </c>
      <c r="H523" s="6" t="s">
        <v>977</v>
      </c>
      <c r="I523" s="6" t="s">
        <v>20</v>
      </c>
      <c r="J523" s="29"/>
      <c r="K523" s="8" t="str">
        <f t="shared" si="116"/>
        <v/>
      </c>
      <c r="L523" s="8" t="str">
        <f t="shared" si="117"/>
        <v/>
      </c>
      <c r="M523" s="8"/>
      <c r="N523" s="8"/>
      <c r="O523" s="8">
        <v>1.907</v>
      </c>
      <c r="P523" s="8">
        <f>2.391+1.03+0.54</f>
        <v>3.9610000000000003</v>
      </c>
      <c r="Q523" s="8"/>
      <c r="R523" s="8"/>
      <c r="S523" s="8">
        <v>2.1720000000000002</v>
      </c>
      <c r="T523" s="8">
        <f>0.972+1.239</f>
        <v>2.2110000000000003</v>
      </c>
      <c r="U523" s="8"/>
      <c r="V523" s="8">
        <f>P523/O523</f>
        <v>2.0770844257996854</v>
      </c>
      <c r="W523" s="8"/>
      <c r="X523" s="8">
        <f t="shared" si="121"/>
        <v>1.0179558011049725</v>
      </c>
      <c r="Y523" s="31">
        <f t="shared" si="118"/>
        <v>-0.18963630234778842</v>
      </c>
      <c r="Z523" s="31">
        <f t="shared" si="119"/>
        <v>-0.18963630234778842</v>
      </c>
      <c r="AA523" s="31" t="str">
        <f t="shared" si="120"/>
        <v/>
      </c>
    </row>
    <row r="524" spans="1:27" x14ac:dyDescent="0.25">
      <c r="A524" s="6" t="str">
        <f t="shared" si="114"/>
        <v>complete</v>
      </c>
      <c r="B524" s="6" t="s">
        <v>487</v>
      </c>
      <c r="C524" s="6" t="str">
        <f t="shared" si="115"/>
        <v>HC2 900</v>
      </c>
      <c r="D524" s="6" t="s">
        <v>486</v>
      </c>
      <c r="E524" s="20">
        <v>900</v>
      </c>
      <c r="F524" s="6" t="s">
        <v>180</v>
      </c>
      <c r="G524" s="6" t="s">
        <v>495</v>
      </c>
      <c r="H524" s="6" t="s">
        <v>977</v>
      </c>
      <c r="I524" s="6" t="s">
        <v>20</v>
      </c>
      <c r="J524" s="29">
        <v>47.317999999999998</v>
      </c>
      <c r="K524" s="8">
        <f t="shared" si="116"/>
        <v>1.6750263799263077</v>
      </c>
      <c r="L524" s="8">
        <f t="shared" si="117"/>
        <v>8.4620609587781885</v>
      </c>
      <c r="M524" s="8">
        <v>3.13</v>
      </c>
      <c r="N524" s="8">
        <f>1.738+1.861+0.799</f>
        <v>4.3980000000000006</v>
      </c>
      <c r="O524" s="8">
        <v>2.9470000000000001</v>
      </c>
      <c r="P524" s="8">
        <f>0.436+1.416+1.03+0.701</f>
        <v>3.5829999999999997</v>
      </c>
      <c r="Q524" s="8">
        <v>3.9790000000000001</v>
      </c>
      <c r="R524" s="8">
        <f>1.409+1.939+1.382</f>
        <v>4.7299999999999995</v>
      </c>
      <c r="S524" s="8">
        <v>3.391</v>
      </c>
      <c r="T524" s="8">
        <f>0.842+1.352+1.185</f>
        <v>3.379</v>
      </c>
      <c r="U524" s="8">
        <f>N524/M524</f>
        <v>1.4051118210862623</v>
      </c>
      <c r="V524" s="8">
        <f>P524/O524</f>
        <v>1.2158126908720732</v>
      </c>
      <c r="W524" s="8">
        <f>R524/Q524</f>
        <v>1.1887408896707714</v>
      </c>
      <c r="X524" s="8">
        <f t="shared" si="121"/>
        <v>0.99646122087879685</v>
      </c>
      <c r="Y524" s="31">
        <f t="shared" si="118"/>
        <v>-7.9735217239805908E-2</v>
      </c>
      <c r="Z524" s="31" t="str">
        <f t="shared" si="119"/>
        <v/>
      </c>
      <c r="AA524" s="31">
        <f t="shared" si="120"/>
        <v>-7.9735217239805908E-2</v>
      </c>
    </row>
    <row r="525" spans="1:27" x14ac:dyDescent="0.25">
      <c r="A525" s="6" t="str">
        <f t="shared" si="114"/>
        <v>fragment</v>
      </c>
      <c r="B525" s="6" t="s">
        <v>487</v>
      </c>
      <c r="C525" s="6" t="str">
        <f t="shared" si="115"/>
        <v>HC2 900</v>
      </c>
      <c r="D525" s="6" t="s">
        <v>486</v>
      </c>
      <c r="E525" s="20">
        <v>900</v>
      </c>
      <c r="F525" s="6" t="s">
        <v>180</v>
      </c>
      <c r="G525" s="6" t="s">
        <v>496</v>
      </c>
      <c r="H525" s="6" t="s">
        <v>977</v>
      </c>
      <c r="I525" s="6" t="s">
        <v>20</v>
      </c>
      <c r="J525" s="29"/>
      <c r="K525" s="8" t="str">
        <f t="shared" si="116"/>
        <v/>
      </c>
      <c r="L525" s="8" t="str">
        <f t="shared" si="117"/>
        <v/>
      </c>
      <c r="M525" s="8"/>
      <c r="N525" s="8"/>
      <c r="O525" s="8">
        <v>0.46100000000000002</v>
      </c>
      <c r="P525" s="8">
        <f>0.319+0.439</f>
        <v>0.75800000000000001</v>
      </c>
      <c r="Q525" s="8"/>
      <c r="R525" s="8"/>
      <c r="S525" s="8">
        <v>1.34</v>
      </c>
      <c r="T525" s="8">
        <f>0.333+0.999+0.709</f>
        <v>2.0409999999999999</v>
      </c>
      <c r="U525" s="8"/>
      <c r="V525" s="8">
        <f>P525/O525</f>
        <v>1.6442516268980476</v>
      </c>
      <c r="W525" s="8"/>
      <c r="X525" s="8">
        <f t="shared" si="121"/>
        <v>1.5231343283582088</v>
      </c>
      <c r="Y525" s="31">
        <f t="shared" si="118"/>
        <v>-0.19967099098713897</v>
      </c>
      <c r="Z525" s="31">
        <f t="shared" si="119"/>
        <v>-0.19967099098713897</v>
      </c>
      <c r="AA525" s="31" t="str">
        <f t="shared" si="120"/>
        <v/>
      </c>
    </row>
    <row r="526" spans="1:27" x14ac:dyDescent="0.25">
      <c r="A526" s="6" t="str">
        <f t="shared" si="114"/>
        <v>fragment</v>
      </c>
      <c r="B526" s="6" t="s">
        <v>487</v>
      </c>
      <c r="C526" s="6" t="str">
        <f t="shared" si="115"/>
        <v>HC2 900</v>
      </c>
      <c r="D526" s="6" t="s">
        <v>486</v>
      </c>
      <c r="E526" s="20">
        <v>900</v>
      </c>
      <c r="F526" s="6" t="s">
        <v>180</v>
      </c>
      <c r="G526" s="6" t="s">
        <v>497</v>
      </c>
      <c r="H526" s="6" t="s">
        <v>977</v>
      </c>
      <c r="I526" s="6" t="s">
        <v>20</v>
      </c>
      <c r="J526" s="29"/>
      <c r="K526" s="8" t="str">
        <f t="shared" si="116"/>
        <v/>
      </c>
      <c r="L526" s="8" t="str">
        <f t="shared" si="117"/>
        <v/>
      </c>
      <c r="M526" s="8">
        <v>3.3839999999999999</v>
      </c>
      <c r="N526" s="8">
        <f>0.879+2.111+0.663</f>
        <v>3.6530000000000005</v>
      </c>
      <c r="O526" s="8"/>
      <c r="P526" s="8"/>
      <c r="Q526" s="8"/>
      <c r="R526" s="8"/>
      <c r="S526" s="8"/>
      <c r="T526" s="8"/>
      <c r="U526" s="8">
        <f>N526/M526</f>
        <v>1.0794917257683216</v>
      </c>
      <c r="V526" s="8"/>
      <c r="W526" s="8"/>
      <c r="X526" s="8"/>
      <c r="Y526" s="31">
        <f t="shared" si="118"/>
        <v>-3.3219317844930811E-2</v>
      </c>
      <c r="Z526" s="31">
        <f t="shared" si="119"/>
        <v>-3.3219317844930811E-2</v>
      </c>
      <c r="AA526" s="31" t="str">
        <f t="shared" si="120"/>
        <v/>
      </c>
    </row>
    <row r="527" spans="1:27" x14ac:dyDescent="0.25">
      <c r="A527" s="6" t="str">
        <f t="shared" si="114"/>
        <v>fragment</v>
      </c>
      <c r="B527" s="6" t="s">
        <v>487</v>
      </c>
      <c r="C527" s="6" t="str">
        <f t="shared" si="115"/>
        <v>HC2 900</v>
      </c>
      <c r="D527" s="6" t="s">
        <v>486</v>
      </c>
      <c r="E527" s="20">
        <v>900</v>
      </c>
      <c r="F527" s="6" t="s">
        <v>180</v>
      </c>
      <c r="G527" s="6" t="s">
        <v>498</v>
      </c>
      <c r="H527" s="6" t="s">
        <v>977</v>
      </c>
      <c r="I527" s="6" t="s">
        <v>20</v>
      </c>
      <c r="J527" s="29"/>
      <c r="K527" s="8" t="str">
        <f t="shared" si="116"/>
        <v/>
      </c>
      <c r="L527" s="8" t="str">
        <f t="shared" si="117"/>
        <v/>
      </c>
      <c r="M527" s="8"/>
      <c r="N527" s="8"/>
      <c r="O527" s="8"/>
      <c r="P527" s="8"/>
      <c r="Q527" s="8">
        <v>0.67600000000000005</v>
      </c>
      <c r="R527" s="8">
        <f>0.39+0.799+0.436</f>
        <v>1.625</v>
      </c>
      <c r="S527" s="8">
        <v>1.593</v>
      </c>
      <c r="T527" s="8">
        <f>1.097+0.543</f>
        <v>1.6400000000000001</v>
      </c>
      <c r="U527" s="8"/>
      <c r="V527" s="8"/>
      <c r="W527" s="8">
        <f>R527/Q527</f>
        <v>2.4038461538461537</v>
      </c>
      <c r="X527" s="8">
        <f>T527/S527</f>
        <v>1.0295040803515381</v>
      </c>
      <c r="Y527" s="31">
        <f t="shared" si="118"/>
        <v>-0.23468811216640176</v>
      </c>
      <c r="Z527" s="31">
        <f t="shared" si="119"/>
        <v>-0.23468811216640176</v>
      </c>
      <c r="AA527" s="31" t="str">
        <f t="shared" si="120"/>
        <v/>
      </c>
    </row>
    <row r="528" spans="1:27" x14ac:dyDescent="0.25">
      <c r="A528" s="6" t="str">
        <f t="shared" si="114"/>
        <v>fragment</v>
      </c>
      <c r="B528" s="6" t="s">
        <v>487</v>
      </c>
      <c r="C528" s="6" t="str">
        <f t="shared" si="115"/>
        <v>HC2 900</v>
      </c>
      <c r="D528" s="6" t="s">
        <v>486</v>
      </c>
      <c r="E528" s="20">
        <v>900</v>
      </c>
      <c r="F528" s="6" t="s">
        <v>180</v>
      </c>
      <c r="G528" s="6" t="s">
        <v>499</v>
      </c>
      <c r="H528" s="6" t="s">
        <v>977</v>
      </c>
      <c r="I528" s="6" t="s">
        <v>20</v>
      </c>
      <c r="J528" s="29"/>
      <c r="K528" s="8" t="str">
        <f t="shared" si="116"/>
        <v/>
      </c>
      <c r="L528" s="8" t="str">
        <f t="shared" si="117"/>
        <v/>
      </c>
      <c r="M528" s="8"/>
      <c r="N528" s="8"/>
      <c r="O528" s="8"/>
      <c r="P528" s="8"/>
      <c r="Q528" s="8">
        <v>2.3529999999999998</v>
      </c>
      <c r="R528" s="8">
        <f>1.284+1.362</f>
        <v>2.6459999999999999</v>
      </c>
      <c r="S528" s="8">
        <v>1.669</v>
      </c>
      <c r="T528" s="8">
        <f>0.886+0.539</f>
        <v>1.425</v>
      </c>
      <c r="U528" s="8"/>
      <c r="V528" s="8"/>
      <c r="W528" s="8">
        <f>R528/Q528</f>
        <v>1.1245218869528262</v>
      </c>
      <c r="X528" s="8">
        <f>T528/S528</f>
        <v>0.85380467345715993</v>
      </c>
      <c r="Y528" s="31">
        <f t="shared" si="118"/>
        <v>4.7320139245101648E-3</v>
      </c>
      <c r="Z528" s="31">
        <f t="shared" si="119"/>
        <v>4.7320139245101648E-3</v>
      </c>
      <c r="AA528" s="31" t="str">
        <f t="shared" si="120"/>
        <v/>
      </c>
    </row>
    <row r="529" spans="1:27" x14ac:dyDescent="0.25">
      <c r="A529" s="6" t="str">
        <f t="shared" si="114"/>
        <v>fragment</v>
      </c>
      <c r="B529" s="6" t="s">
        <v>487</v>
      </c>
      <c r="C529" s="6" t="str">
        <f t="shared" si="115"/>
        <v>HC2 900</v>
      </c>
      <c r="D529" s="6" t="s">
        <v>486</v>
      </c>
      <c r="E529" s="20">
        <v>900</v>
      </c>
      <c r="F529" s="6" t="s">
        <v>180</v>
      </c>
      <c r="G529" s="6" t="s">
        <v>500</v>
      </c>
      <c r="H529" s="6" t="s">
        <v>977</v>
      </c>
      <c r="I529" s="6" t="s">
        <v>20</v>
      </c>
      <c r="J529" s="29"/>
      <c r="K529" s="8" t="str">
        <f t="shared" si="116"/>
        <v/>
      </c>
      <c r="L529" s="8" t="str">
        <f t="shared" si="117"/>
        <v/>
      </c>
      <c r="M529" s="8">
        <v>1.8740000000000001</v>
      </c>
      <c r="N529" s="8">
        <f>1.61+0.265+0.509</f>
        <v>2.3839999999999999</v>
      </c>
      <c r="O529" s="8">
        <v>3.2010000000000001</v>
      </c>
      <c r="P529" s="8">
        <f>1.04+1.594+0.458</f>
        <v>3.0920000000000005</v>
      </c>
      <c r="Q529" s="8"/>
      <c r="R529" s="8"/>
      <c r="S529" s="8">
        <v>2.5750000000000002</v>
      </c>
      <c r="T529" s="8">
        <f>1.099+1.12+1.302</f>
        <v>3.5210000000000004</v>
      </c>
      <c r="U529" s="8">
        <f>N529/M529</f>
        <v>1.2721451440768408</v>
      </c>
      <c r="V529" s="8">
        <f>P529/O529</f>
        <v>0.96594814120587336</v>
      </c>
      <c r="W529" s="8"/>
      <c r="X529" s="8">
        <f>T529/S529</f>
        <v>1.367378640776699</v>
      </c>
      <c r="Y529" s="31">
        <f t="shared" si="118"/>
        <v>-7.984086356448053E-2</v>
      </c>
      <c r="Z529" s="31">
        <f t="shared" si="119"/>
        <v>-7.984086356448053E-2</v>
      </c>
      <c r="AA529" s="31" t="str">
        <f t="shared" si="120"/>
        <v/>
      </c>
    </row>
    <row r="530" spans="1:27" x14ac:dyDescent="0.25">
      <c r="A530" s="6" t="str">
        <f t="shared" si="114"/>
        <v>fragment</v>
      </c>
      <c r="B530" s="6" t="s">
        <v>487</v>
      </c>
      <c r="C530" s="6" t="str">
        <f t="shared" si="115"/>
        <v>HC2 900</v>
      </c>
      <c r="D530" s="6" t="s">
        <v>486</v>
      </c>
      <c r="E530" s="20">
        <v>900</v>
      </c>
      <c r="F530" s="6" t="s">
        <v>180</v>
      </c>
      <c r="G530" s="6" t="s">
        <v>501</v>
      </c>
      <c r="H530" s="6" t="s">
        <v>977</v>
      </c>
      <c r="I530" s="6" t="s">
        <v>20</v>
      </c>
      <c r="J530" s="29"/>
      <c r="K530" s="8" t="str">
        <f t="shared" si="116"/>
        <v/>
      </c>
      <c r="L530" s="8" t="str">
        <f t="shared" si="117"/>
        <v/>
      </c>
      <c r="M530" s="8"/>
      <c r="N530" s="8"/>
      <c r="O530" s="8">
        <v>6.9089999999999998</v>
      </c>
      <c r="P530" s="8">
        <f>2.376+2.955+0.777</f>
        <v>6.1079999999999997</v>
      </c>
      <c r="Q530" s="8"/>
      <c r="R530" s="8"/>
      <c r="S530" s="8"/>
      <c r="T530" s="8"/>
      <c r="U530" s="8"/>
      <c r="V530" s="8">
        <f>P530/O530</f>
        <v>0.88406426400347371</v>
      </c>
      <c r="W530" s="8"/>
      <c r="X530" s="8"/>
      <c r="Y530" s="31">
        <f t="shared" si="118"/>
        <v>5.3516164299509991E-2</v>
      </c>
      <c r="Z530" s="31">
        <f t="shared" si="119"/>
        <v>5.3516164299509991E-2</v>
      </c>
      <c r="AA530" s="31" t="str">
        <f t="shared" si="120"/>
        <v/>
      </c>
    </row>
    <row r="531" spans="1:27" x14ac:dyDescent="0.25">
      <c r="A531" s="6" t="str">
        <f t="shared" si="114"/>
        <v>complete</v>
      </c>
      <c r="B531" s="6" t="s">
        <v>487</v>
      </c>
      <c r="C531" s="6" t="str">
        <f t="shared" si="115"/>
        <v>HC2 900</v>
      </c>
      <c r="D531" s="6" t="s">
        <v>486</v>
      </c>
      <c r="E531" s="20">
        <v>900</v>
      </c>
      <c r="F531" s="6" t="s">
        <v>180</v>
      </c>
      <c r="G531" s="6" t="s">
        <v>502</v>
      </c>
      <c r="H531" s="6" t="s">
        <v>977</v>
      </c>
      <c r="I531" s="6" t="s">
        <v>20</v>
      </c>
      <c r="J531" s="29">
        <v>27.988</v>
      </c>
      <c r="K531" s="8">
        <f t="shared" si="116"/>
        <v>1.4469718652401029</v>
      </c>
      <c r="L531" s="8">
        <f t="shared" si="117"/>
        <v>7.9369460328717416</v>
      </c>
      <c r="M531" s="8"/>
      <c r="N531" s="8"/>
      <c r="O531" s="8">
        <v>2.9820000000000002</v>
      </c>
      <c r="P531" s="8">
        <f>0.95+1.431+0.778</f>
        <v>3.1590000000000003</v>
      </c>
      <c r="Q531" s="8"/>
      <c r="R531" s="8"/>
      <c r="S531" s="8"/>
      <c r="T531" s="8"/>
      <c r="U531" s="8"/>
      <c r="V531" s="8">
        <f>P531/O531</f>
        <v>1.0593561368209257</v>
      </c>
      <c r="W531" s="8"/>
      <c r="X531" s="8"/>
      <c r="Y531" s="31">
        <f t="shared" si="118"/>
        <v>-2.5041986788173275E-2</v>
      </c>
      <c r="Z531" s="31" t="str">
        <f t="shared" si="119"/>
        <v/>
      </c>
      <c r="AA531" s="31">
        <f t="shared" si="120"/>
        <v>-2.5041986788173275E-2</v>
      </c>
    </row>
    <row r="532" spans="1:27" x14ac:dyDescent="0.25">
      <c r="A532" s="6" t="str">
        <f t="shared" si="114"/>
        <v>fragment</v>
      </c>
      <c r="B532" s="6" t="s">
        <v>487</v>
      </c>
      <c r="C532" s="6" t="str">
        <f t="shared" si="115"/>
        <v>HC2 900</v>
      </c>
      <c r="D532" s="6" t="s">
        <v>486</v>
      </c>
      <c r="E532" s="20">
        <v>900</v>
      </c>
      <c r="F532" s="6" t="s">
        <v>180</v>
      </c>
      <c r="G532" s="6" t="s">
        <v>503</v>
      </c>
      <c r="H532" s="6" t="s">
        <v>977</v>
      </c>
      <c r="I532" s="6" t="s">
        <v>20</v>
      </c>
      <c r="J532" s="29"/>
      <c r="K532" s="8" t="str">
        <f t="shared" si="116"/>
        <v/>
      </c>
      <c r="L532" s="8" t="str">
        <f t="shared" si="117"/>
        <v/>
      </c>
      <c r="M532" s="8"/>
      <c r="N532" s="8"/>
      <c r="O532" s="8">
        <v>0.48</v>
      </c>
      <c r="P532" s="8">
        <f>1.246+0.446+0.313</f>
        <v>2.0049999999999999</v>
      </c>
      <c r="Q532" s="8"/>
      <c r="R532" s="8"/>
      <c r="S532" s="8"/>
      <c r="T532" s="8"/>
      <c r="U532" s="8"/>
      <c r="V532" s="8">
        <f>P532/O532</f>
        <v>4.177083333333333</v>
      </c>
      <c r="W532" s="8"/>
      <c r="X532" s="8"/>
      <c r="Y532" s="31">
        <f t="shared" si="118"/>
        <v>-0.62087313958061385</v>
      </c>
      <c r="Z532" s="31">
        <f t="shared" si="119"/>
        <v>-0.62087313958061385</v>
      </c>
      <c r="AA532" s="31" t="str">
        <f t="shared" si="120"/>
        <v/>
      </c>
    </row>
    <row r="533" spans="1:27" x14ac:dyDescent="0.25">
      <c r="A533" s="6" t="str">
        <f t="shared" si="114"/>
        <v>fragment</v>
      </c>
      <c r="B533" s="6" t="s">
        <v>487</v>
      </c>
      <c r="C533" s="6" t="str">
        <f t="shared" si="115"/>
        <v>HC2 900</v>
      </c>
      <c r="D533" s="6" t="s">
        <v>486</v>
      </c>
      <c r="E533" s="20">
        <v>900</v>
      </c>
      <c r="F533" s="6" t="s">
        <v>180</v>
      </c>
      <c r="G533" s="6" t="s">
        <v>504</v>
      </c>
      <c r="H533" s="6" t="s">
        <v>977</v>
      </c>
      <c r="I533" s="6" t="s">
        <v>20</v>
      </c>
      <c r="J533" s="29"/>
      <c r="K533" s="8" t="str">
        <f t="shared" si="116"/>
        <v/>
      </c>
      <c r="L533" s="8" t="str">
        <f t="shared" si="117"/>
        <v/>
      </c>
      <c r="M533" s="8"/>
      <c r="N533" s="8"/>
      <c r="O533" s="8"/>
      <c r="P533" s="8"/>
      <c r="Q533" s="8">
        <v>2.0249999999999999</v>
      </c>
      <c r="R533" s="8">
        <f>1.703+1.186</f>
        <v>2.8890000000000002</v>
      </c>
      <c r="S533" s="8"/>
      <c r="T533" s="8"/>
      <c r="U533" s="8"/>
      <c r="V533" s="8"/>
      <c r="W533" s="8">
        <f>R533/Q533</f>
        <v>1.4266666666666667</v>
      </c>
      <c r="X533" s="8"/>
      <c r="Y533" s="31">
        <f t="shared" si="118"/>
        <v>-0.15432251429350963</v>
      </c>
      <c r="Z533" s="31">
        <f t="shared" si="119"/>
        <v>-0.15432251429350963</v>
      </c>
      <c r="AA533" s="31" t="str">
        <f t="shared" si="120"/>
        <v/>
      </c>
    </row>
    <row r="534" spans="1:27" x14ac:dyDescent="0.25">
      <c r="A534" s="6" t="str">
        <f t="shared" si="114"/>
        <v>fragment</v>
      </c>
      <c r="B534" s="6" t="s">
        <v>487</v>
      </c>
      <c r="C534" s="6" t="str">
        <f t="shared" si="115"/>
        <v>HC2 900</v>
      </c>
      <c r="D534" s="6" t="s">
        <v>486</v>
      </c>
      <c r="E534" s="20">
        <v>900</v>
      </c>
      <c r="F534" s="6" t="s">
        <v>180</v>
      </c>
      <c r="G534" s="6" t="s">
        <v>505</v>
      </c>
      <c r="H534" s="6" t="s">
        <v>977</v>
      </c>
      <c r="I534" s="6" t="s">
        <v>20</v>
      </c>
      <c r="J534" s="29"/>
      <c r="K534" s="8" t="str">
        <f t="shared" si="116"/>
        <v/>
      </c>
      <c r="L534" s="8" t="str">
        <f t="shared" si="117"/>
        <v/>
      </c>
      <c r="M534" s="8"/>
      <c r="N534" s="8"/>
      <c r="O534" s="8">
        <v>2.758</v>
      </c>
      <c r="P534" s="8">
        <f>1.009+1.972+1.075</f>
        <v>4.056</v>
      </c>
      <c r="Q534" s="8"/>
      <c r="R534" s="8"/>
      <c r="S534" s="8"/>
      <c r="T534" s="8"/>
      <c r="U534" s="8"/>
      <c r="V534" s="8">
        <f>P534/O534</f>
        <v>1.470630891950689</v>
      </c>
      <c r="W534" s="8"/>
      <c r="X534" s="8"/>
      <c r="Y534" s="31">
        <f t="shared" si="118"/>
        <v>-0.16750368448544861</v>
      </c>
      <c r="Z534" s="31">
        <f t="shared" si="119"/>
        <v>-0.16750368448544861</v>
      </c>
      <c r="AA534" s="31" t="str">
        <f t="shared" si="120"/>
        <v/>
      </c>
    </row>
    <row r="535" spans="1:27" x14ac:dyDescent="0.25">
      <c r="A535" s="6" t="str">
        <f t="shared" si="114"/>
        <v>fragment</v>
      </c>
      <c r="B535" s="6" t="s">
        <v>487</v>
      </c>
      <c r="C535" s="6" t="str">
        <f t="shared" si="115"/>
        <v>HC2 900</v>
      </c>
      <c r="D535" s="6" t="s">
        <v>486</v>
      </c>
      <c r="E535" s="20">
        <v>900</v>
      </c>
      <c r="F535" s="6" t="s">
        <v>180</v>
      </c>
      <c r="G535" s="6" t="s">
        <v>506</v>
      </c>
      <c r="H535" s="6" t="s">
        <v>977</v>
      </c>
      <c r="I535" s="6" t="s">
        <v>20</v>
      </c>
      <c r="J535" s="29"/>
      <c r="K535" s="8" t="str">
        <f t="shared" si="116"/>
        <v/>
      </c>
      <c r="L535" s="8" t="str">
        <f t="shared" si="117"/>
        <v/>
      </c>
      <c r="M535" s="8"/>
      <c r="N535" s="8"/>
      <c r="O535" s="8">
        <v>1.774</v>
      </c>
      <c r="P535" s="8">
        <f>0.758+1.774+0.68</f>
        <v>3.2120000000000002</v>
      </c>
      <c r="Q535" s="8">
        <v>1.403</v>
      </c>
      <c r="R535" s="8">
        <f>0.545+0.733+0.747</f>
        <v>2.0249999999999999</v>
      </c>
      <c r="S535" s="8"/>
      <c r="T535" s="8"/>
      <c r="U535" s="8"/>
      <c r="V535" s="8">
        <f>P535/O535</f>
        <v>1.8105975197294251</v>
      </c>
      <c r="W535" s="8">
        <f>R535/Q535</f>
        <v>1.4433357091945829</v>
      </c>
      <c r="X535" s="8"/>
      <c r="Y535" s="31">
        <f t="shared" si="118"/>
        <v>-0.21137864125665709</v>
      </c>
      <c r="Z535" s="31">
        <f t="shared" si="119"/>
        <v>-0.21137864125665709</v>
      </c>
      <c r="AA535" s="31" t="str">
        <f t="shared" si="120"/>
        <v/>
      </c>
    </row>
    <row r="536" spans="1:27" x14ac:dyDescent="0.25">
      <c r="A536" s="6" t="str">
        <f t="shared" si="114"/>
        <v>fragment</v>
      </c>
      <c r="B536" s="6" t="s">
        <v>487</v>
      </c>
      <c r="C536" s="6" t="str">
        <f t="shared" si="115"/>
        <v>HC2 900</v>
      </c>
      <c r="D536" s="6" t="s">
        <v>486</v>
      </c>
      <c r="E536" s="20">
        <v>900</v>
      </c>
      <c r="F536" s="6" t="s">
        <v>180</v>
      </c>
      <c r="G536" s="6" t="s">
        <v>507</v>
      </c>
      <c r="H536" s="6" t="s">
        <v>977</v>
      </c>
      <c r="I536" s="6" t="s">
        <v>20</v>
      </c>
      <c r="J536" s="29"/>
      <c r="K536" s="8" t="str">
        <f t="shared" si="116"/>
        <v/>
      </c>
      <c r="L536" s="8" t="str">
        <f t="shared" si="117"/>
        <v/>
      </c>
      <c r="M536" s="8">
        <v>0.36</v>
      </c>
      <c r="N536" s="8">
        <f>0.819+0.144</f>
        <v>0.96299999999999997</v>
      </c>
      <c r="O536" s="8">
        <v>1.2350000000000001</v>
      </c>
      <c r="P536" s="8">
        <f>0.606+1.939+0.385</f>
        <v>2.9299999999999997</v>
      </c>
      <c r="Q536" s="8">
        <v>0.66700000000000004</v>
      </c>
      <c r="R536" s="8">
        <f>0.784+0.307</f>
        <v>1.091</v>
      </c>
      <c r="S536" s="8"/>
      <c r="T536" s="8"/>
      <c r="U536" s="8">
        <f>N536/M536</f>
        <v>2.6749999999999998</v>
      </c>
      <c r="V536" s="8">
        <f>P536/O536</f>
        <v>2.3724696356275299</v>
      </c>
      <c r="W536" s="8">
        <f>R536/Q536</f>
        <v>1.6356821589205397</v>
      </c>
      <c r="X536" s="8"/>
      <c r="Y536" s="31">
        <f t="shared" si="118"/>
        <v>-0.34786007065450858</v>
      </c>
      <c r="Z536" s="31">
        <f t="shared" si="119"/>
        <v>-0.34786007065450858</v>
      </c>
      <c r="AA536" s="31" t="str">
        <f t="shared" si="120"/>
        <v/>
      </c>
    </row>
    <row r="537" spans="1:27" x14ac:dyDescent="0.25">
      <c r="A537" s="6" t="str">
        <f t="shared" si="114"/>
        <v>fragment</v>
      </c>
      <c r="B537" s="6" t="s">
        <v>487</v>
      </c>
      <c r="C537" s="6" t="str">
        <f t="shared" si="115"/>
        <v>HC2 900</v>
      </c>
      <c r="D537" s="6" t="s">
        <v>486</v>
      </c>
      <c r="E537" s="20">
        <v>900</v>
      </c>
      <c r="F537" s="6" t="s">
        <v>180</v>
      </c>
      <c r="G537" s="6" t="s">
        <v>508</v>
      </c>
      <c r="H537" s="6" t="s">
        <v>977</v>
      </c>
      <c r="I537" s="6" t="s">
        <v>20</v>
      </c>
      <c r="J537" s="29"/>
      <c r="K537" s="8" t="str">
        <f t="shared" si="116"/>
        <v/>
      </c>
      <c r="L537" s="8" t="str">
        <f t="shared" si="117"/>
        <v/>
      </c>
      <c r="M537" s="8"/>
      <c r="N537" s="8"/>
      <c r="O537" s="8"/>
      <c r="P537" s="8"/>
      <c r="Q537" s="8">
        <v>2.8319999999999999</v>
      </c>
      <c r="R537" s="8">
        <f>0.467+0.56+2.574+0.755</f>
        <v>4.3559999999999999</v>
      </c>
      <c r="S537" s="8">
        <v>2.9390000000000001</v>
      </c>
      <c r="T537" s="8">
        <f>0.928+0.959+1.544+0.703</f>
        <v>4.1340000000000003</v>
      </c>
      <c r="U537" s="8"/>
      <c r="V537" s="8"/>
      <c r="W537" s="8">
        <f>R537/Q537</f>
        <v>1.5381355932203391</v>
      </c>
      <c r="X537" s="8">
        <f>T537/S537</f>
        <v>1.4066008846546445</v>
      </c>
      <c r="Y537" s="31">
        <f t="shared" si="118"/>
        <v>-0.16801644053029335</v>
      </c>
      <c r="Z537" s="31">
        <f t="shared" si="119"/>
        <v>-0.16801644053029335</v>
      </c>
      <c r="AA537" s="31" t="str">
        <f t="shared" si="120"/>
        <v/>
      </c>
    </row>
    <row r="538" spans="1:27" x14ac:dyDescent="0.25">
      <c r="A538" s="6" t="str">
        <f t="shared" si="114"/>
        <v>complete</v>
      </c>
      <c r="B538" s="6" t="s">
        <v>487</v>
      </c>
      <c r="C538" s="6" t="str">
        <f t="shared" si="115"/>
        <v>HC2 900</v>
      </c>
      <c r="D538" s="6" t="s">
        <v>486</v>
      </c>
      <c r="E538" s="20">
        <v>900</v>
      </c>
      <c r="F538" s="6" t="s">
        <v>180</v>
      </c>
      <c r="G538" s="6" t="s">
        <v>509</v>
      </c>
      <c r="H538" s="6" t="s">
        <v>977</v>
      </c>
      <c r="I538" s="6" t="s">
        <v>20</v>
      </c>
      <c r="J538" s="29">
        <v>59.603999999999999</v>
      </c>
      <c r="K538" s="8">
        <f t="shared" si="116"/>
        <v>1.7752754060428482</v>
      </c>
      <c r="L538" s="8">
        <f t="shared" si="117"/>
        <v>8.6928928719013054</v>
      </c>
      <c r="M538" s="8">
        <v>3.4889999999999999</v>
      </c>
      <c r="N538" s="8">
        <f>0.581+3.481+0.691</f>
        <v>4.7529999999999992</v>
      </c>
      <c r="O538" s="8">
        <v>3.7050000000000001</v>
      </c>
      <c r="P538" s="8">
        <f>0.687+1.697+1.583+0.941</f>
        <v>4.9080000000000004</v>
      </c>
      <c r="Q538" s="8">
        <v>3.63</v>
      </c>
      <c r="R538" s="8">
        <f>1.446+1.37</f>
        <v>2.8159999999999998</v>
      </c>
      <c r="S538" s="8">
        <v>3.5190000000000001</v>
      </c>
      <c r="T538" s="8">
        <f>1.271+1.962</f>
        <v>3.2329999999999997</v>
      </c>
      <c r="U538" s="8">
        <f>N538/M538</f>
        <v>1.3622814560045857</v>
      </c>
      <c r="V538" s="8">
        <f>P538/O538</f>
        <v>1.3246963562753038</v>
      </c>
      <c r="W538" s="8">
        <f>R538/Q538</f>
        <v>0.77575757575757576</v>
      </c>
      <c r="X538" s="8">
        <f>T538/S538</f>
        <v>0.91872691105427662</v>
      </c>
      <c r="Y538" s="31">
        <f t="shared" si="118"/>
        <v>-3.9559087769427355E-2</v>
      </c>
      <c r="Z538" s="31" t="str">
        <f t="shared" si="119"/>
        <v/>
      </c>
      <c r="AA538" s="31">
        <f t="shared" si="120"/>
        <v>-3.9559087769427355E-2</v>
      </c>
    </row>
    <row r="539" spans="1:27" x14ac:dyDescent="0.25">
      <c r="A539" s="6" t="str">
        <f t="shared" si="114"/>
        <v>complete</v>
      </c>
      <c r="B539" s="6" t="s">
        <v>487</v>
      </c>
      <c r="C539" s="6" t="str">
        <f t="shared" si="115"/>
        <v>HC2 900</v>
      </c>
      <c r="D539" s="6" t="s">
        <v>486</v>
      </c>
      <c r="E539" s="20">
        <v>900</v>
      </c>
      <c r="F539" s="6" t="s">
        <v>180</v>
      </c>
      <c r="G539" s="6" t="s">
        <v>520</v>
      </c>
      <c r="H539" s="6" t="s">
        <v>977</v>
      </c>
      <c r="I539" s="8" t="s">
        <v>20</v>
      </c>
      <c r="J539" s="29">
        <v>40.027000000000001</v>
      </c>
      <c r="K539" s="8">
        <f t="shared" si="116"/>
        <v>1.6023530412100349</v>
      </c>
      <c r="L539" s="8">
        <f t="shared" si="117"/>
        <v>8.2947244123919912</v>
      </c>
      <c r="M539" s="8"/>
      <c r="N539" s="8"/>
      <c r="O539" s="8">
        <v>2.2669999999999999</v>
      </c>
      <c r="P539" s="8">
        <f>0.942+0.98+1.13+0.563</f>
        <v>3.6149999999999993</v>
      </c>
      <c r="Q539" s="8"/>
      <c r="R539" s="8"/>
      <c r="S539" s="8">
        <v>4.2670000000000003</v>
      </c>
      <c r="T539" s="8">
        <f>1.528+0.296+1.838+0.458+0.877</f>
        <v>4.9969999999999999</v>
      </c>
      <c r="U539" s="8"/>
      <c r="V539" s="8">
        <f>P539/O539</f>
        <v>1.5946184384649313</v>
      </c>
      <c r="W539" s="8"/>
      <c r="X539" s="8">
        <f>T539/S539</f>
        <v>1.1710803843449729</v>
      </c>
      <c r="Y539" s="31">
        <f t="shared" si="118"/>
        <v>-0.1407748891789643</v>
      </c>
      <c r="Z539" s="31" t="str">
        <f t="shared" si="119"/>
        <v/>
      </c>
      <c r="AA539" s="31">
        <f t="shared" si="120"/>
        <v>-0.1407748891789643</v>
      </c>
    </row>
    <row r="540" spans="1:27" x14ac:dyDescent="0.25">
      <c r="A540" s="6" t="str">
        <f t="shared" si="114"/>
        <v>complete</v>
      </c>
      <c r="B540" s="6" t="s">
        <v>487</v>
      </c>
      <c r="C540" s="6" t="str">
        <f t="shared" si="115"/>
        <v>HC2 900</v>
      </c>
      <c r="D540" s="6" t="s">
        <v>486</v>
      </c>
      <c r="E540" s="20">
        <v>900</v>
      </c>
      <c r="F540" s="6" t="s">
        <v>180</v>
      </c>
      <c r="G540" s="6" t="s">
        <v>523</v>
      </c>
      <c r="H540" s="6" t="s">
        <v>977</v>
      </c>
      <c r="I540" s="8" t="s">
        <v>20</v>
      </c>
      <c r="J540" s="29">
        <v>50.805</v>
      </c>
      <c r="K540" s="8">
        <f t="shared" si="116"/>
        <v>1.7059064557003116</v>
      </c>
      <c r="L540" s="8">
        <f t="shared" si="117"/>
        <v>8.5331649609259355</v>
      </c>
      <c r="M540" s="8">
        <v>6.8230000000000004</v>
      </c>
      <c r="N540" s="8">
        <f>2.389+2.239+1.597</f>
        <v>6.2249999999999996</v>
      </c>
      <c r="O540" s="8">
        <v>5.6319999999999997</v>
      </c>
      <c r="P540" s="8">
        <f>1.993+2.509+0.522+0.614</f>
        <v>5.6379999999999999</v>
      </c>
      <c r="Q540" s="8"/>
      <c r="R540" s="8"/>
      <c r="S540" s="8"/>
      <c r="T540" s="8"/>
      <c r="U540" s="8">
        <f>N540/M540</f>
        <v>0.91235526894328001</v>
      </c>
      <c r="V540" s="8">
        <f>P540/O540</f>
        <v>1.0010653409090911</v>
      </c>
      <c r="W540" s="8"/>
      <c r="X540" s="8"/>
      <c r="Y540" s="31">
        <f t="shared" si="118"/>
        <v>1.9219548135762217E-2</v>
      </c>
      <c r="Z540" s="31" t="str">
        <f t="shared" si="119"/>
        <v/>
      </c>
      <c r="AA540" s="31">
        <f t="shared" si="120"/>
        <v>1.9219548135762217E-2</v>
      </c>
    </row>
    <row r="541" spans="1:27" x14ac:dyDescent="0.25">
      <c r="A541" s="6" t="str">
        <f t="shared" si="114"/>
        <v>fragment</v>
      </c>
      <c r="B541" s="6" t="s">
        <v>568</v>
      </c>
      <c r="C541" s="6" t="str">
        <f t="shared" si="115"/>
        <v>HC20 2096</v>
      </c>
      <c r="D541" s="22" t="s">
        <v>964</v>
      </c>
      <c r="E541" s="22">
        <v>2096</v>
      </c>
      <c r="F541" s="22"/>
      <c r="G541" s="22" t="s">
        <v>1011</v>
      </c>
      <c r="H541" s="22" t="s">
        <v>1194</v>
      </c>
      <c r="I541" s="6" t="s">
        <v>20</v>
      </c>
      <c r="J541" s="30"/>
      <c r="K541" s="8" t="str">
        <f t="shared" si="116"/>
        <v/>
      </c>
      <c r="L541" s="8" t="str">
        <f t="shared" si="117"/>
        <v/>
      </c>
      <c r="M541" s="25"/>
      <c r="N541" s="25"/>
      <c r="O541" s="23">
        <v>2.2200000000000002</v>
      </c>
      <c r="P541" s="23">
        <f>0.228+1.383+1.873+0.586</f>
        <v>4.07</v>
      </c>
      <c r="Q541" s="23">
        <v>1.962</v>
      </c>
      <c r="R541" s="23">
        <f>0.665+1.236+1.369+0.603</f>
        <v>3.8730000000000002</v>
      </c>
      <c r="S541" s="8"/>
      <c r="T541" s="8"/>
      <c r="U541" s="8"/>
      <c r="V541" s="8">
        <v>1.8333333333333333</v>
      </c>
      <c r="W541" s="8">
        <v>1.9740061162079512</v>
      </c>
      <c r="X541" s="8"/>
      <c r="Y541" s="31">
        <f t="shared" si="118"/>
        <v>-0.27959160310748787</v>
      </c>
      <c r="Z541" s="31">
        <f t="shared" si="119"/>
        <v>-0.27959160310748787</v>
      </c>
      <c r="AA541" s="31" t="str">
        <f t="shared" si="120"/>
        <v/>
      </c>
    </row>
    <row r="542" spans="1:27" x14ac:dyDescent="0.25">
      <c r="A542" s="6" t="str">
        <f t="shared" si="114"/>
        <v>fragment</v>
      </c>
      <c r="B542" s="6" t="s">
        <v>526</v>
      </c>
      <c r="C542" s="6" t="str">
        <f t="shared" si="115"/>
        <v>HC200 1781</v>
      </c>
      <c r="D542" s="6" t="s">
        <v>525</v>
      </c>
      <c r="E542" s="20">
        <v>1781</v>
      </c>
      <c r="F542" s="6" t="s">
        <v>190</v>
      </c>
      <c r="G542" s="6" t="s">
        <v>527</v>
      </c>
      <c r="H542" s="6" t="s">
        <v>977</v>
      </c>
      <c r="I542" s="6" t="s">
        <v>5</v>
      </c>
      <c r="J542" s="29"/>
      <c r="K542" s="8" t="str">
        <f t="shared" si="116"/>
        <v/>
      </c>
      <c r="L542" s="8" t="str">
        <f t="shared" si="117"/>
        <v/>
      </c>
      <c r="M542" s="8"/>
      <c r="N542" s="8"/>
      <c r="O542" s="8">
        <v>7.3490000000000002</v>
      </c>
      <c r="P542" s="8">
        <f>2.186+0.066+0.733+2.236+1.763+1.158</f>
        <v>8.1419999999999995</v>
      </c>
      <c r="Q542" s="8"/>
      <c r="R542" s="8"/>
      <c r="S542" s="8"/>
      <c r="T542" s="8"/>
      <c r="U542" s="8"/>
      <c r="V542" s="8">
        <f>P542/O542</f>
        <v>1.1079058375289155</v>
      </c>
      <c r="W542" s="8"/>
      <c r="X542" s="8"/>
      <c r="Y542" s="31">
        <f t="shared" si="118"/>
        <v>-4.4502850663733509E-2</v>
      </c>
      <c r="Z542" s="31">
        <f t="shared" si="119"/>
        <v>-4.4502850663733509E-2</v>
      </c>
      <c r="AA542" s="31" t="str">
        <f t="shared" si="120"/>
        <v/>
      </c>
    </row>
    <row r="543" spans="1:27" x14ac:dyDescent="0.25">
      <c r="A543" s="6" t="str">
        <f t="shared" si="114"/>
        <v>fragment</v>
      </c>
      <c r="B543" s="6" t="s">
        <v>526</v>
      </c>
      <c r="C543" s="6" t="str">
        <f t="shared" si="115"/>
        <v>HC200 1781</v>
      </c>
      <c r="D543" s="6" t="s">
        <v>525</v>
      </c>
      <c r="E543" s="20">
        <v>1781</v>
      </c>
      <c r="F543" s="6" t="s">
        <v>190</v>
      </c>
      <c r="G543" s="6" t="s">
        <v>528</v>
      </c>
      <c r="H543" s="6" t="s">
        <v>977</v>
      </c>
      <c r="I543" s="6" t="s">
        <v>5</v>
      </c>
      <c r="J543" s="29"/>
      <c r="K543" s="8" t="str">
        <f t="shared" si="116"/>
        <v/>
      </c>
      <c r="L543" s="8" t="str">
        <f t="shared" si="117"/>
        <v/>
      </c>
      <c r="M543" s="8">
        <v>1.643</v>
      </c>
      <c r="N543" s="8">
        <f>0.756+1.073+0.931+0.193</f>
        <v>2.9529999999999998</v>
      </c>
      <c r="O543" s="8"/>
      <c r="P543" s="8"/>
      <c r="Q543" s="8"/>
      <c r="R543" s="8"/>
      <c r="S543" s="8">
        <v>1.679</v>
      </c>
      <c r="T543" s="8">
        <f>0.723+1.006+0.639</f>
        <v>2.3680000000000003</v>
      </c>
      <c r="U543" s="8">
        <f>N543/M543</f>
        <v>1.7973219720024345</v>
      </c>
      <c r="V543" s="8"/>
      <c r="W543" s="8"/>
      <c r="X543" s="8">
        <f>T543/S543</f>
        <v>1.4103633114949377</v>
      </c>
      <c r="Y543" s="31">
        <f t="shared" si="118"/>
        <v>-0.20516175598515238</v>
      </c>
      <c r="Z543" s="31">
        <f t="shared" si="119"/>
        <v>-0.20516175598515238</v>
      </c>
      <c r="AA543" s="31" t="str">
        <f t="shared" si="120"/>
        <v/>
      </c>
    </row>
    <row r="544" spans="1:27" x14ac:dyDescent="0.25">
      <c r="A544" s="6" t="str">
        <f t="shared" si="114"/>
        <v>fragment</v>
      </c>
      <c r="B544" s="6" t="s">
        <v>526</v>
      </c>
      <c r="C544" s="6" t="str">
        <f t="shared" si="115"/>
        <v>HC200 1781</v>
      </c>
      <c r="D544" s="6" t="s">
        <v>525</v>
      </c>
      <c r="E544" s="20">
        <v>1781</v>
      </c>
      <c r="F544" s="6" t="s">
        <v>190</v>
      </c>
      <c r="G544" s="6" t="s">
        <v>529</v>
      </c>
      <c r="H544" s="6" t="s">
        <v>977</v>
      </c>
      <c r="I544" s="6" t="s">
        <v>5</v>
      </c>
      <c r="J544" s="29"/>
      <c r="K544" s="8" t="str">
        <f t="shared" si="116"/>
        <v/>
      </c>
      <c r="L544" s="8" t="str">
        <f t="shared" si="117"/>
        <v/>
      </c>
      <c r="M544" s="8"/>
      <c r="N544" s="8"/>
      <c r="O544" s="8">
        <v>0.75600000000000001</v>
      </c>
      <c r="P544" s="8">
        <f>0.566+0.576</f>
        <v>1.1419999999999999</v>
      </c>
      <c r="Q544" s="8">
        <v>0.51500000000000001</v>
      </c>
      <c r="R544" s="8">
        <f>0.402+0.382+0.389</f>
        <v>1.173</v>
      </c>
      <c r="S544" s="8">
        <v>1.3660000000000001</v>
      </c>
      <c r="T544" s="8">
        <f>0.961+0.904</f>
        <v>1.865</v>
      </c>
      <c r="U544" s="8"/>
      <c r="V544" s="8">
        <f t="shared" ref="V544:V552" si="122">P544/O544</f>
        <v>1.5105820105820105</v>
      </c>
      <c r="W544" s="8">
        <f>R544/Q544</f>
        <v>2.2776699029126215</v>
      </c>
      <c r="X544" s="8">
        <f>T544/S544</f>
        <v>1.3653001464128842</v>
      </c>
      <c r="Y544" s="31">
        <f t="shared" si="118"/>
        <v>-0.23498541281989629</v>
      </c>
      <c r="Z544" s="31">
        <f t="shared" si="119"/>
        <v>-0.23498541281989629</v>
      </c>
      <c r="AA544" s="31" t="str">
        <f t="shared" si="120"/>
        <v/>
      </c>
    </row>
    <row r="545" spans="1:27" x14ac:dyDescent="0.25">
      <c r="A545" s="6" t="str">
        <f t="shared" si="114"/>
        <v>fragment</v>
      </c>
      <c r="B545" s="6" t="s">
        <v>526</v>
      </c>
      <c r="C545" s="6" t="str">
        <f t="shared" si="115"/>
        <v>HC200 1781</v>
      </c>
      <c r="D545" s="6" t="s">
        <v>525</v>
      </c>
      <c r="E545" s="20">
        <v>1781</v>
      </c>
      <c r="F545" s="6" t="s">
        <v>190</v>
      </c>
      <c r="G545" s="6" t="s">
        <v>530</v>
      </c>
      <c r="H545" s="6" t="s">
        <v>977</v>
      </c>
      <c r="I545" s="6" t="s">
        <v>5</v>
      </c>
      <c r="J545" s="29"/>
      <c r="K545" s="8" t="str">
        <f t="shared" si="116"/>
        <v/>
      </c>
      <c r="L545" s="8" t="str">
        <f t="shared" si="117"/>
        <v/>
      </c>
      <c r="M545" s="8"/>
      <c r="N545" s="8"/>
      <c r="O545" s="8">
        <v>0.63400000000000001</v>
      </c>
      <c r="P545" s="8">
        <f>0.511+0.542+0.514+0.344</f>
        <v>1.911</v>
      </c>
      <c r="Q545" s="8"/>
      <c r="R545" s="8"/>
      <c r="S545" s="8">
        <v>0.60899999999999999</v>
      </c>
      <c r="T545" s="8">
        <f>0.517+0.774</f>
        <v>1.2909999999999999</v>
      </c>
      <c r="U545" s="8"/>
      <c r="V545" s="8">
        <f t="shared" si="122"/>
        <v>3.0141955835962144</v>
      </c>
      <c r="W545" s="8"/>
      <c r="X545" s="8">
        <f>T545/S545</f>
        <v>2.1198686371100162</v>
      </c>
      <c r="Y545" s="31">
        <f t="shared" si="118"/>
        <v>-0.40943130118486376</v>
      </c>
      <c r="Z545" s="31">
        <f t="shared" si="119"/>
        <v>-0.40943130118486376</v>
      </c>
      <c r="AA545" s="31" t="str">
        <f t="shared" si="120"/>
        <v/>
      </c>
    </row>
    <row r="546" spans="1:27" x14ac:dyDescent="0.25">
      <c r="A546" s="6" t="str">
        <f t="shared" si="114"/>
        <v>fragment</v>
      </c>
      <c r="B546" s="6" t="s">
        <v>526</v>
      </c>
      <c r="C546" s="6" t="str">
        <f t="shared" si="115"/>
        <v>HC200 1781</v>
      </c>
      <c r="D546" s="6" t="s">
        <v>525</v>
      </c>
      <c r="E546" s="20">
        <v>1781</v>
      </c>
      <c r="F546" s="6" t="s">
        <v>190</v>
      </c>
      <c r="G546" s="6" t="s">
        <v>531</v>
      </c>
      <c r="H546" s="6" t="s">
        <v>977</v>
      </c>
      <c r="I546" s="6" t="s">
        <v>5</v>
      </c>
      <c r="J546" s="29"/>
      <c r="K546" s="8" t="str">
        <f t="shared" si="116"/>
        <v/>
      </c>
      <c r="L546" s="8" t="str">
        <f t="shared" si="117"/>
        <v/>
      </c>
      <c r="M546" s="8"/>
      <c r="N546" s="8"/>
      <c r="O546" s="8">
        <v>1.5149999999999999</v>
      </c>
      <c r="P546" s="8">
        <f>0.625+0.892</f>
        <v>1.5169999999999999</v>
      </c>
      <c r="Q546" s="8">
        <v>1.198</v>
      </c>
      <c r="R546" s="8">
        <f>0.679+0.679+0.668+0.725+0.372</f>
        <v>3.1230000000000002</v>
      </c>
      <c r="S546" s="8"/>
      <c r="T546" s="8"/>
      <c r="U546" s="8"/>
      <c r="V546" s="8">
        <f t="shared" si="122"/>
        <v>1.0013201320132012</v>
      </c>
      <c r="W546" s="8">
        <f>R546/Q546</f>
        <v>2.6068447412353928</v>
      </c>
      <c r="X546" s="8"/>
      <c r="Y546" s="31">
        <f t="shared" si="118"/>
        <v>-0.25625637852358069</v>
      </c>
      <c r="Z546" s="31">
        <f t="shared" si="119"/>
        <v>-0.25625637852358069</v>
      </c>
      <c r="AA546" s="31" t="str">
        <f t="shared" si="120"/>
        <v/>
      </c>
    </row>
    <row r="547" spans="1:27" x14ac:dyDescent="0.25">
      <c r="A547" s="6" t="str">
        <f t="shared" si="114"/>
        <v>fragment</v>
      </c>
      <c r="B547" s="6" t="s">
        <v>526</v>
      </c>
      <c r="C547" s="6" t="str">
        <f t="shared" si="115"/>
        <v>HC200 1781</v>
      </c>
      <c r="D547" s="6" t="s">
        <v>525</v>
      </c>
      <c r="E547" s="20">
        <v>1781</v>
      </c>
      <c r="F547" s="6" t="s">
        <v>190</v>
      </c>
      <c r="G547" s="6" t="s">
        <v>532</v>
      </c>
      <c r="H547" s="6" t="s">
        <v>977</v>
      </c>
      <c r="I547" s="6" t="s">
        <v>5</v>
      </c>
      <c r="J547" s="29"/>
      <c r="K547" s="8" t="str">
        <f t="shared" si="116"/>
        <v/>
      </c>
      <c r="L547" s="8" t="str">
        <f t="shared" si="117"/>
        <v/>
      </c>
      <c r="M547" s="8"/>
      <c r="N547" s="8"/>
      <c r="O547" s="8">
        <v>9.3539999999999992</v>
      </c>
      <c r="P547" s="8">
        <f>2.208+2.409</f>
        <v>4.617</v>
      </c>
      <c r="Q547" s="8"/>
      <c r="R547" s="8"/>
      <c r="S547" s="8"/>
      <c r="T547" s="8"/>
      <c r="U547" s="8"/>
      <c r="V547" s="8">
        <f t="shared" si="122"/>
        <v>0.49358563181526621</v>
      </c>
      <c r="W547" s="8"/>
      <c r="X547" s="8"/>
      <c r="Y547" s="31">
        <f t="shared" si="118"/>
        <v>0.30663749102134419</v>
      </c>
      <c r="Z547" s="31">
        <f t="shared" si="119"/>
        <v>0.30663749102134419</v>
      </c>
      <c r="AA547" s="31" t="str">
        <f t="shared" si="120"/>
        <v/>
      </c>
    </row>
    <row r="548" spans="1:27" x14ac:dyDescent="0.25">
      <c r="A548" s="6" t="str">
        <f t="shared" si="114"/>
        <v>fragment</v>
      </c>
      <c r="B548" s="6" t="s">
        <v>526</v>
      </c>
      <c r="C548" s="6" t="str">
        <f t="shared" si="115"/>
        <v>HC200 1781</v>
      </c>
      <c r="D548" s="6" t="s">
        <v>525</v>
      </c>
      <c r="E548" s="20">
        <v>1781</v>
      </c>
      <c r="F548" s="6" t="s">
        <v>190</v>
      </c>
      <c r="G548" s="6" t="s">
        <v>533</v>
      </c>
      <c r="H548" s="6" t="s">
        <v>977</v>
      </c>
      <c r="I548" s="6" t="s">
        <v>5</v>
      </c>
      <c r="J548" s="29"/>
      <c r="K548" s="8" t="str">
        <f t="shared" si="116"/>
        <v/>
      </c>
      <c r="L548" s="8" t="str">
        <f t="shared" si="117"/>
        <v/>
      </c>
      <c r="M548" s="8"/>
      <c r="N548" s="8"/>
      <c r="O548" s="8">
        <v>2.077</v>
      </c>
      <c r="P548" s="8">
        <f>1.247+1.181</f>
        <v>2.4279999999999999</v>
      </c>
      <c r="Q548" s="8"/>
      <c r="R548" s="8"/>
      <c r="S548" s="8">
        <v>1.621</v>
      </c>
      <c r="T548" s="8">
        <f>0.948+0.641</f>
        <v>1.589</v>
      </c>
      <c r="U548" s="8"/>
      <c r="V548" s="8">
        <f t="shared" si="122"/>
        <v>1.1689937409725566</v>
      </c>
      <c r="W548" s="8"/>
      <c r="X548" s="8">
        <f>T548/S548</f>
        <v>0.98025909932140654</v>
      </c>
      <c r="Y548" s="31">
        <f t="shared" si="118"/>
        <v>-3.1257513678232485E-2</v>
      </c>
      <c r="Z548" s="31">
        <f t="shared" si="119"/>
        <v>-3.1257513678232485E-2</v>
      </c>
      <c r="AA548" s="31" t="str">
        <f t="shared" si="120"/>
        <v/>
      </c>
    </row>
    <row r="549" spans="1:27" x14ac:dyDescent="0.25">
      <c r="A549" s="6" t="str">
        <f t="shared" si="114"/>
        <v>fragment</v>
      </c>
      <c r="B549" s="6" t="s">
        <v>526</v>
      </c>
      <c r="C549" s="6" t="str">
        <f t="shared" si="115"/>
        <v>HC200 1781</v>
      </c>
      <c r="D549" s="6" t="s">
        <v>525</v>
      </c>
      <c r="E549" s="20">
        <v>1781</v>
      </c>
      <c r="F549" s="6" t="s">
        <v>190</v>
      </c>
      <c r="G549" s="6" t="s">
        <v>534</v>
      </c>
      <c r="H549" s="6" t="s">
        <v>977</v>
      </c>
      <c r="I549" s="6" t="s">
        <v>5</v>
      </c>
      <c r="J549" s="29"/>
      <c r="K549" s="8" t="str">
        <f t="shared" si="116"/>
        <v/>
      </c>
      <c r="L549" s="8" t="str">
        <f t="shared" si="117"/>
        <v/>
      </c>
      <c r="M549" s="8"/>
      <c r="N549" s="8"/>
      <c r="O549" s="8">
        <v>0.96799999999999997</v>
      </c>
      <c r="P549" s="8">
        <f>0.89+0.641+0.545</f>
        <v>2.0760000000000001</v>
      </c>
      <c r="Q549" s="8">
        <v>0.52900000000000003</v>
      </c>
      <c r="R549" s="8">
        <f>0.378+0.401+0.398</f>
        <v>1.177</v>
      </c>
      <c r="S549" s="8">
        <v>1.704</v>
      </c>
      <c r="T549" s="8">
        <f>1.018+1.11</f>
        <v>2.1280000000000001</v>
      </c>
      <c r="U549" s="8"/>
      <c r="V549" s="8">
        <f t="shared" si="122"/>
        <v>2.1446280991735538</v>
      </c>
      <c r="W549" s="8">
        <f>R549/Q549</f>
        <v>2.2249527410207941</v>
      </c>
      <c r="X549" s="8">
        <f>T549/S549</f>
        <v>1.2488262910798122</v>
      </c>
      <c r="Y549" s="31">
        <f t="shared" si="118"/>
        <v>-0.27249195192576203</v>
      </c>
      <c r="Z549" s="31">
        <f t="shared" si="119"/>
        <v>-0.27249195192576203</v>
      </c>
      <c r="AA549" s="31" t="str">
        <f t="shared" si="120"/>
        <v/>
      </c>
    </row>
    <row r="550" spans="1:27" x14ac:dyDescent="0.25">
      <c r="A550" s="6" t="str">
        <f t="shared" si="114"/>
        <v>fragment</v>
      </c>
      <c r="B550" s="6" t="s">
        <v>526</v>
      </c>
      <c r="C550" s="6" t="str">
        <f t="shared" si="115"/>
        <v>HC200 1781</v>
      </c>
      <c r="D550" s="6" t="s">
        <v>525</v>
      </c>
      <c r="E550" s="20">
        <v>1781</v>
      </c>
      <c r="F550" s="6" t="s">
        <v>190</v>
      </c>
      <c r="G550" s="6" t="s">
        <v>535</v>
      </c>
      <c r="H550" s="6" t="s">
        <v>977</v>
      </c>
      <c r="I550" s="6" t="s">
        <v>5</v>
      </c>
      <c r="J550" s="29"/>
      <c r="K550" s="8" t="str">
        <f t="shared" si="116"/>
        <v/>
      </c>
      <c r="L550" s="8" t="str">
        <f t="shared" si="117"/>
        <v/>
      </c>
      <c r="M550" s="8"/>
      <c r="N550" s="8"/>
      <c r="O550" s="8">
        <v>2.52</v>
      </c>
      <c r="P550" s="8">
        <f>0.55+1.083+1.001</f>
        <v>2.6339999999999999</v>
      </c>
      <c r="Q550" s="8"/>
      <c r="R550" s="8"/>
      <c r="S550" s="8"/>
      <c r="T550" s="8"/>
      <c r="U550" s="8"/>
      <c r="V550" s="8">
        <f t="shared" si="122"/>
        <v>1.0452380952380953</v>
      </c>
      <c r="W550" s="8"/>
      <c r="X550" s="8"/>
      <c r="Y550" s="31">
        <f t="shared" si="118"/>
        <v>-1.9215229844220937E-2</v>
      </c>
      <c r="Z550" s="31">
        <f t="shared" si="119"/>
        <v>-1.9215229844220937E-2</v>
      </c>
      <c r="AA550" s="31" t="str">
        <f t="shared" si="120"/>
        <v/>
      </c>
    </row>
    <row r="551" spans="1:27" x14ac:dyDescent="0.25">
      <c r="A551" s="6" t="str">
        <f t="shared" si="114"/>
        <v>complete</v>
      </c>
      <c r="B551" s="6" t="s">
        <v>526</v>
      </c>
      <c r="C551" s="6" t="str">
        <f t="shared" si="115"/>
        <v>HC200 1781</v>
      </c>
      <c r="D551" s="6" t="s">
        <v>525</v>
      </c>
      <c r="E551" s="20">
        <v>1781</v>
      </c>
      <c r="F551" s="6" t="s">
        <v>190</v>
      </c>
      <c r="G551" s="6" t="s">
        <v>543</v>
      </c>
      <c r="H551" s="6" t="s">
        <v>977</v>
      </c>
      <c r="I551" s="8" t="s">
        <v>5</v>
      </c>
      <c r="J551" s="29">
        <v>116.40392</v>
      </c>
      <c r="K551" s="8">
        <f t="shared" si="116"/>
        <v>2.0659676057924203</v>
      </c>
      <c r="L551" s="8">
        <f t="shared" si="117"/>
        <v>9.3622363976943177</v>
      </c>
      <c r="M551" s="8"/>
      <c r="N551" s="8"/>
      <c r="O551" s="8">
        <v>3.2210000000000001</v>
      </c>
      <c r="P551" s="8">
        <f>1.022+0.898+1.06+0.802+1.128+0.812</f>
        <v>5.7220000000000004</v>
      </c>
      <c r="Q551" s="8">
        <v>1.0920000000000001</v>
      </c>
      <c r="R551" s="8">
        <f>0.592+0.649</f>
        <v>1.2410000000000001</v>
      </c>
      <c r="S551" s="8">
        <v>5.9530000000000003</v>
      </c>
      <c r="T551" s="8">
        <f>1.29+1.996+2.177</f>
        <v>5.4630000000000001</v>
      </c>
      <c r="U551" s="8"/>
      <c r="V551" s="8">
        <f t="shared" si="122"/>
        <v>1.7764669357342442</v>
      </c>
      <c r="W551" s="8">
        <f>R551/Q551</f>
        <v>1.1364468864468864</v>
      </c>
      <c r="X551" s="8">
        <f>T551/S551</f>
        <v>0.91768856038971947</v>
      </c>
      <c r="Y551" s="31">
        <f t="shared" si="118"/>
        <v>-0.10614581973343644</v>
      </c>
      <c r="Z551" s="31" t="str">
        <f t="shared" si="119"/>
        <v/>
      </c>
      <c r="AA551" s="31">
        <f t="shared" si="120"/>
        <v>-0.10614581973343644</v>
      </c>
    </row>
    <row r="552" spans="1:27" x14ac:dyDescent="0.25">
      <c r="A552" s="6" t="str">
        <f t="shared" si="114"/>
        <v>fragment</v>
      </c>
      <c r="B552" s="6" t="s">
        <v>526</v>
      </c>
      <c r="C552" s="6" t="str">
        <f t="shared" si="115"/>
        <v>HC200 428</v>
      </c>
      <c r="D552" s="6" t="s">
        <v>525</v>
      </c>
      <c r="E552" s="20">
        <v>428</v>
      </c>
      <c r="F552" s="6" t="s">
        <v>154</v>
      </c>
      <c r="G552" s="6" t="s">
        <v>536</v>
      </c>
      <c r="H552" s="6" t="s">
        <v>979</v>
      </c>
      <c r="I552" s="6" t="s">
        <v>5</v>
      </c>
      <c r="J552" s="29"/>
      <c r="K552" s="8" t="str">
        <f t="shared" si="116"/>
        <v/>
      </c>
      <c r="L552" s="8" t="str">
        <f t="shared" si="117"/>
        <v/>
      </c>
      <c r="M552" s="8"/>
      <c r="N552" s="8"/>
      <c r="O552" s="8">
        <v>0.90300000000000002</v>
      </c>
      <c r="P552" s="8">
        <v>1.4</v>
      </c>
      <c r="Q552" s="8"/>
      <c r="R552" s="8"/>
      <c r="S552" s="8">
        <v>2.488</v>
      </c>
      <c r="T552" s="8">
        <f>1.48+0.996</f>
        <v>2.476</v>
      </c>
      <c r="U552" s="8"/>
      <c r="V552" s="8">
        <f t="shared" si="122"/>
        <v>1.5503875968992247</v>
      </c>
      <c r="W552" s="8"/>
      <c r="X552" s="8">
        <f>T552/S552</f>
        <v>0.99517684887459812</v>
      </c>
      <c r="Y552" s="31">
        <f t="shared" si="118"/>
        <v>-0.10475410083397223</v>
      </c>
      <c r="Z552" s="31">
        <f t="shared" si="119"/>
        <v>-0.10475410083397223</v>
      </c>
      <c r="AA552" s="31" t="str">
        <f t="shared" si="120"/>
        <v/>
      </c>
    </row>
    <row r="553" spans="1:27" x14ac:dyDescent="0.25">
      <c r="A553" s="6" t="str">
        <f t="shared" si="114"/>
        <v>fragment</v>
      </c>
      <c r="B553" s="6" t="s">
        <v>526</v>
      </c>
      <c r="C553" s="6" t="str">
        <f t="shared" si="115"/>
        <v>HC200 428</v>
      </c>
      <c r="D553" s="6" t="s">
        <v>525</v>
      </c>
      <c r="E553" s="20">
        <v>428</v>
      </c>
      <c r="F553" s="6" t="s">
        <v>154</v>
      </c>
      <c r="G553" s="6" t="s">
        <v>537</v>
      </c>
      <c r="H553" s="6" t="s">
        <v>979</v>
      </c>
      <c r="I553" s="6" t="s">
        <v>5</v>
      </c>
      <c r="J553" s="29"/>
      <c r="K553" s="8" t="str">
        <f t="shared" si="116"/>
        <v/>
      </c>
      <c r="L553" s="8" t="str">
        <f t="shared" si="117"/>
        <v/>
      </c>
      <c r="M553" s="8"/>
      <c r="N553" s="8"/>
      <c r="O553" s="8"/>
      <c r="P553" s="8"/>
      <c r="Q553" s="8">
        <v>3.077</v>
      </c>
      <c r="R553" s="8">
        <f>0.722+1.353+1.029</f>
        <v>3.1040000000000001</v>
      </c>
      <c r="S553" s="8"/>
      <c r="T553" s="8"/>
      <c r="U553" s="8"/>
      <c r="V553" s="8"/>
      <c r="W553" s="8">
        <f>R553/Q553</f>
        <v>1.0087747806304843</v>
      </c>
      <c r="X553" s="8"/>
      <c r="Y553" s="31">
        <f t="shared" si="118"/>
        <v>-3.7942163386924239E-3</v>
      </c>
      <c r="Z553" s="31">
        <f t="shared" si="119"/>
        <v>-3.7942163386924239E-3</v>
      </c>
      <c r="AA553" s="31" t="str">
        <f t="shared" si="120"/>
        <v/>
      </c>
    </row>
    <row r="554" spans="1:27" x14ac:dyDescent="0.25">
      <c r="A554" s="6" t="str">
        <f t="shared" si="114"/>
        <v>complete</v>
      </c>
      <c r="B554" s="6" t="s">
        <v>526</v>
      </c>
      <c r="C554" s="6" t="str">
        <f t="shared" si="115"/>
        <v>HC200 428</v>
      </c>
      <c r="D554" s="6" t="s">
        <v>525</v>
      </c>
      <c r="E554" s="20">
        <v>428</v>
      </c>
      <c r="F554" s="6" t="s">
        <v>154</v>
      </c>
      <c r="G554" s="6" t="s">
        <v>538</v>
      </c>
      <c r="H554" s="6" t="s">
        <v>979</v>
      </c>
      <c r="I554" s="6" t="s">
        <v>5</v>
      </c>
      <c r="J554" s="29">
        <v>25.67</v>
      </c>
      <c r="K554" s="8">
        <f t="shared" si="116"/>
        <v>1.4094258686714434</v>
      </c>
      <c r="L554" s="8">
        <f t="shared" si="117"/>
        <v>7.8504931808711405</v>
      </c>
      <c r="M554" s="8"/>
      <c r="N554" s="8"/>
      <c r="O554" s="8"/>
      <c r="P554" s="8"/>
      <c r="Q554" s="8">
        <v>0.55700000000000005</v>
      </c>
      <c r="R554" s="8">
        <f>0.486+0.515</f>
        <v>1.0009999999999999</v>
      </c>
      <c r="S554" s="8">
        <v>2.5630000000000002</v>
      </c>
      <c r="T554" s="8">
        <f>0.648+1.173+0.055+1.162</f>
        <v>3.0380000000000003</v>
      </c>
      <c r="U554" s="8"/>
      <c r="V554" s="8"/>
      <c r="W554" s="8">
        <f>R554/Q554</f>
        <v>1.7971274685816871</v>
      </c>
      <c r="X554" s="8">
        <f>T554/S554</f>
        <v>1.1853296917674601</v>
      </c>
      <c r="Y554" s="31">
        <f t="shared" si="118"/>
        <v>-0.17354421857023689</v>
      </c>
      <c r="Z554" s="31" t="str">
        <f t="shared" si="119"/>
        <v/>
      </c>
      <c r="AA554" s="31">
        <f t="shared" si="120"/>
        <v>-0.17354421857023689</v>
      </c>
    </row>
    <row r="555" spans="1:27" x14ac:dyDescent="0.25">
      <c r="A555" s="6" t="str">
        <f t="shared" si="114"/>
        <v>complete</v>
      </c>
      <c r="B555" s="6" t="s">
        <v>526</v>
      </c>
      <c r="C555" s="6" t="str">
        <f t="shared" si="115"/>
        <v>HC200 428</v>
      </c>
      <c r="D555" s="6" t="s">
        <v>525</v>
      </c>
      <c r="E555" s="20">
        <v>428</v>
      </c>
      <c r="F555" s="6" t="s">
        <v>154</v>
      </c>
      <c r="G555" s="6" t="s">
        <v>544</v>
      </c>
      <c r="H555" s="6" t="s">
        <v>979</v>
      </c>
      <c r="I555" s="8" t="s">
        <v>5</v>
      </c>
      <c r="J555" s="29">
        <v>47.393819999999998</v>
      </c>
      <c r="K555" s="8">
        <f t="shared" si="116"/>
        <v>1.675721714777902</v>
      </c>
      <c r="L555" s="8">
        <f t="shared" si="117"/>
        <v>8.4636620264421083</v>
      </c>
      <c r="M555" s="8"/>
      <c r="N555" s="8"/>
      <c r="O555" s="8">
        <v>1.373</v>
      </c>
      <c r="P555" s="8">
        <f>0.73+0.77+0.72</f>
        <v>2.2199999999999998</v>
      </c>
      <c r="Q555" s="8"/>
      <c r="R555" s="8"/>
      <c r="S555" s="8">
        <v>1.744</v>
      </c>
      <c r="T555" s="8">
        <f>1.152+1.278</f>
        <v>2.4299999999999997</v>
      </c>
      <c r="U555" s="8"/>
      <c r="V555" s="8">
        <f>P555/O555</f>
        <v>1.6168973051711579</v>
      </c>
      <c r="W555" s="8"/>
      <c r="X555" s="8">
        <f>T555/S555</f>
        <v>1.3933486238532109</v>
      </c>
      <c r="Y555" s="31">
        <f t="shared" si="118"/>
        <v>-0.17757198207445954</v>
      </c>
      <c r="Z555" s="31" t="str">
        <f t="shared" si="119"/>
        <v/>
      </c>
      <c r="AA555" s="31">
        <f t="shared" si="120"/>
        <v>-0.17757198207445954</v>
      </c>
    </row>
    <row r="556" spans="1:27" x14ac:dyDescent="0.25">
      <c r="A556" s="6" t="str">
        <f t="shared" si="114"/>
        <v>fragment</v>
      </c>
      <c r="B556" s="6" t="s">
        <v>526</v>
      </c>
      <c r="C556" s="6" t="str">
        <f t="shared" si="115"/>
        <v>HC200 517</v>
      </c>
      <c r="D556" s="6" t="s">
        <v>525</v>
      </c>
      <c r="E556" s="20">
        <v>517</v>
      </c>
      <c r="F556" s="6" t="s">
        <v>161</v>
      </c>
      <c r="G556" s="6" t="s">
        <v>539</v>
      </c>
      <c r="H556" s="6" t="s">
        <v>977</v>
      </c>
      <c r="I556" s="6" t="s">
        <v>5</v>
      </c>
      <c r="J556" s="29"/>
      <c r="K556" s="8" t="str">
        <f t="shared" si="116"/>
        <v/>
      </c>
      <c r="L556" s="8" t="str">
        <f t="shared" si="117"/>
        <v/>
      </c>
      <c r="M556" s="8"/>
      <c r="N556" s="8"/>
      <c r="O556" s="8">
        <v>1.9570000000000001</v>
      </c>
      <c r="P556" s="8">
        <f>0.957+0.907</f>
        <v>1.8639999999999999</v>
      </c>
      <c r="Q556" s="8"/>
      <c r="R556" s="8"/>
      <c r="S556" s="8"/>
      <c r="T556" s="8"/>
      <c r="U556" s="8"/>
      <c r="V556" s="8">
        <f>P556/O556</f>
        <v>0.95247828308635663</v>
      </c>
      <c r="W556" s="8"/>
      <c r="X556" s="8"/>
      <c r="Y556" s="31">
        <f t="shared" si="118"/>
        <v>2.1144917640038671E-2</v>
      </c>
      <c r="Z556" s="31">
        <f t="shared" si="119"/>
        <v>2.1144917640038671E-2</v>
      </c>
      <c r="AA556" s="31" t="str">
        <f t="shared" si="120"/>
        <v/>
      </c>
    </row>
    <row r="557" spans="1:27" x14ac:dyDescent="0.25">
      <c r="A557" s="6" t="str">
        <f t="shared" si="114"/>
        <v>fragment</v>
      </c>
      <c r="B557" s="6" t="s">
        <v>526</v>
      </c>
      <c r="C557" s="6" t="str">
        <f t="shared" si="115"/>
        <v>HC200 517</v>
      </c>
      <c r="D557" s="6" t="s">
        <v>525</v>
      </c>
      <c r="E557" s="20">
        <v>517</v>
      </c>
      <c r="F557" s="6" t="s">
        <v>161</v>
      </c>
      <c r="G557" s="6" t="s">
        <v>540</v>
      </c>
      <c r="H557" s="6" t="s">
        <v>977</v>
      </c>
      <c r="I557" s="6" t="s">
        <v>5</v>
      </c>
      <c r="J557" s="29"/>
      <c r="K557" s="8" t="str">
        <f t="shared" si="116"/>
        <v/>
      </c>
      <c r="L557" s="8" t="str">
        <f t="shared" si="117"/>
        <v/>
      </c>
      <c r="M557" s="8"/>
      <c r="N557" s="8"/>
      <c r="O557" s="8"/>
      <c r="P557" s="8"/>
      <c r="Q557" s="8"/>
      <c r="R557" s="8"/>
      <c r="S557" s="8">
        <v>2.819</v>
      </c>
      <c r="T557" s="8">
        <f>1.55+1.807+0.494</f>
        <v>3.851</v>
      </c>
      <c r="U557" s="8"/>
      <c r="V557" s="8"/>
      <c r="W557" s="8"/>
      <c r="X557" s="8">
        <f>T557/S557</f>
        <v>1.3660872649875844</v>
      </c>
      <c r="Y557" s="31">
        <f t="shared" si="118"/>
        <v>-0.1354784427511288</v>
      </c>
      <c r="Z557" s="31">
        <f t="shared" si="119"/>
        <v>-0.1354784427511288</v>
      </c>
      <c r="AA557" s="31" t="str">
        <f t="shared" si="120"/>
        <v/>
      </c>
    </row>
    <row r="558" spans="1:27" x14ac:dyDescent="0.25">
      <c r="A558" s="6" t="str">
        <f t="shared" si="114"/>
        <v>fragment</v>
      </c>
      <c r="B558" s="6" t="s">
        <v>526</v>
      </c>
      <c r="C558" s="6" t="str">
        <f t="shared" si="115"/>
        <v>HC200 517</v>
      </c>
      <c r="D558" s="6" t="s">
        <v>525</v>
      </c>
      <c r="E558" s="20">
        <v>517</v>
      </c>
      <c r="F558" s="6" t="s">
        <v>161</v>
      </c>
      <c r="G558" s="6" t="s">
        <v>541</v>
      </c>
      <c r="H558" s="6" t="s">
        <v>977</v>
      </c>
      <c r="I558" s="6" t="s">
        <v>5</v>
      </c>
      <c r="J558" s="29"/>
      <c r="K558" s="8" t="str">
        <f t="shared" si="116"/>
        <v/>
      </c>
      <c r="L558" s="8" t="str">
        <f t="shared" si="117"/>
        <v/>
      </c>
      <c r="M558" s="8"/>
      <c r="N558" s="8"/>
      <c r="O558" s="8">
        <v>0.627</v>
      </c>
      <c r="P558" s="8">
        <f>0.469+0.473+0.48</f>
        <v>1.4219999999999999</v>
      </c>
      <c r="Q558" s="8"/>
      <c r="R558" s="8"/>
      <c r="S558" s="8">
        <v>1.2350000000000001</v>
      </c>
      <c r="T558" s="8">
        <f>0.809+0.771</f>
        <v>1.58</v>
      </c>
      <c r="U558" s="8"/>
      <c r="V558" s="8">
        <f>P558/O558</f>
        <v>2.2679425837320575</v>
      </c>
      <c r="W558" s="8"/>
      <c r="X558" s="8">
        <f>T558/S558</f>
        <v>1.2793522267206476</v>
      </c>
      <c r="Y558" s="31">
        <f t="shared" si="118"/>
        <v>-0.24886728788331763</v>
      </c>
      <c r="Z558" s="31">
        <f t="shared" si="119"/>
        <v>-0.24886728788331763</v>
      </c>
      <c r="AA558" s="31" t="str">
        <f t="shared" si="120"/>
        <v/>
      </c>
    </row>
    <row r="559" spans="1:27" x14ac:dyDescent="0.25">
      <c r="A559" s="6" t="str">
        <f t="shared" si="114"/>
        <v>fragment</v>
      </c>
      <c r="B559" s="6" t="s">
        <v>526</v>
      </c>
      <c r="C559" s="6" t="str">
        <f t="shared" si="115"/>
        <v>HC200 517</v>
      </c>
      <c r="D559" s="6" t="s">
        <v>525</v>
      </c>
      <c r="E559" s="20">
        <v>517</v>
      </c>
      <c r="F559" s="6" t="s">
        <v>161</v>
      </c>
      <c r="G559" s="6" t="s">
        <v>542</v>
      </c>
      <c r="H559" s="6" t="s">
        <v>977</v>
      </c>
      <c r="I559" s="6" t="s">
        <v>5</v>
      </c>
      <c r="J559" s="29"/>
      <c r="K559" s="8" t="str">
        <f t="shared" si="116"/>
        <v/>
      </c>
      <c r="L559" s="8" t="str">
        <f t="shared" si="117"/>
        <v/>
      </c>
      <c r="M559" s="8">
        <v>5.3440000000000003</v>
      </c>
      <c r="N559" s="8">
        <f>1.257+1.981+2.431+0.656</f>
        <v>6.3250000000000002</v>
      </c>
      <c r="O559" s="8">
        <v>1.847</v>
      </c>
      <c r="P559" s="8">
        <f>0.942+0.601+0.846+0.807</f>
        <v>3.1959999999999997</v>
      </c>
      <c r="Q559" s="8"/>
      <c r="R559" s="8"/>
      <c r="S559" s="8">
        <v>3.92</v>
      </c>
      <c r="T559" s="8">
        <f>1.274+2.077+0.701</f>
        <v>4.0519999999999996</v>
      </c>
      <c r="U559" s="8">
        <f>N559/M559</f>
        <v>1.1835703592814371</v>
      </c>
      <c r="V559" s="8">
        <f>P559/O559</f>
        <v>1.7303735787763941</v>
      </c>
      <c r="W559" s="8"/>
      <c r="X559" s="8">
        <f>T559/S559</f>
        <v>1.033673469387755</v>
      </c>
      <c r="Y559" s="31">
        <f t="shared" si="118"/>
        <v>-0.11921380065414582</v>
      </c>
      <c r="Z559" s="31">
        <f t="shared" si="119"/>
        <v>-0.11921380065414582</v>
      </c>
      <c r="AA559" s="31" t="str">
        <f t="shared" si="120"/>
        <v/>
      </c>
    </row>
    <row r="560" spans="1:27" x14ac:dyDescent="0.25">
      <c r="A560" s="6" t="str">
        <f t="shared" si="114"/>
        <v>fragment</v>
      </c>
      <c r="C560" s="6" t="str">
        <f t="shared" si="115"/>
        <v>HC21 2096</v>
      </c>
      <c r="D560" s="22" t="s">
        <v>965</v>
      </c>
      <c r="E560" s="22">
        <v>2096</v>
      </c>
      <c r="F560" s="22"/>
      <c r="G560" s="22" t="s">
        <v>1012</v>
      </c>
      <c r="H560" s="22" t="s">
        <v>1194</v>
      </c>
      <c r="I560" s="6" t="s">
        <v>20</v>
      </c>
      <c r="J560" s="30"/>
      <c r="K560" s="8" t="str">
        <f t="shared" si="116"/>
        <v/>
      </c>
      <c r="L560" s="8" t="str">
        <f t="shared" si="117"/>
        <v/>
      </c>
      <c r="M560" s="23"/>
      <c r="N560" s="23"/>
      <c r="O560" s="23"/>
      <c r="P560" s="23"/>
      <c r="Q560" s="23">
        <v>4.2240000000000002</v>
      </c>
      <c r="R560" s="23">
        <f>0.604+2.505+2.002+0.365</f>
        <v>5.476</v>
      </c>
      <c r="S560" s="8"/>
      <c r="T560" s="8"/>
      <c r="U560" s="8"/>
      <c r="V560" s="8"/>
      <c r="W560" s="8">
        <v>1.2964015151515151</v>
      </c>
      <c r="X560" s="8"/>
      <c r="Y560" s="31">
        <f t="shared" si="118"/>
        <v>-0.11273952993619656</v>
      </c>
      <c r="Z560" s="31">
        <f t="shared" si="119"/>
        <v>-0.11273952993619656</v>
      </c>
      <c r="AA560" s="31" t="str">
        <f t="shared" si="120"/>
        <v/>
      </c>
    </row>
    <row r="561" spans="1:27" x14ac:dyDescent="0.25">
      <c r="A561" s="6" t="str">
        <f t="shared" si="114"/>
        <v>fragment</v>
      </c>
      <c r="C561" s="6" t="str">
        <f t="shared" si="115"/>
        <v>HC21 2096</v>
      </c>
      <c r="D561" s="22" t="s">
        <v>965</v>
      </c>
      <c r="E561" s="22">
        <v>2096</v>
      </c>
      <c r="F561" s="22"/>
      <c r="G561" s="22" t="s">
        <v>1013</v>
      </c>
      <c r="H561" s="22" t="s">
        <v>1194</v>
      </c>
      <c r="I561" s="6" t="s">
        <v>20</v>
      </c>
      <c r="J561" s="30"/>
      <c r="K561" s="8" t="str">
        <f t="shared" si="116"/>
        <v/>
      </c>
      <c r="L561" s="8" t="str">
        <f t="shared" si="117"/>
        <v/>
      </c>
      <c r="M561" s="25">
        <v>1.3939999999999999</v>
      </c>
      <c r="N561" s="25">
        <f>0.905+1.296+0.363</f>
        <v>2.5640000000000001</v>
      </c>
      <c r="O561" s="23">
        <v>1.7410000000000001</v>
      </c>
      <c r="P561" s="23">
        <f>0.333+1.824+0.874</f>
        <v>3.0310000000000001</v>
      </c>
      <c r="Q561" s="25">
        <v>2.0499999999999998</v>
      </c>
      <c r="R561" s="25">
        <f>0.845+1.553+1.139</f>
        <v>3.5369999999999999</v>
      </c>
      <c r="S561" s="8"/>
      <c r="T561" s="8"/>
      <c r="U561" s="8">
        <v>1.8393113342898137</v>
      </c>
      <c r="V561" s="8">
        <v>1.7409534750143596</v>
      </c>
      <c r="W561" s="8">
        <v>1.7253658536585368</v>
      </c>
      <c r="X561" s="8"/>
      <c r="Y561" s="31">
        <f t="shared" si="118"/>
        <v>-0.24761575975060784</v>
      </c>
      <c r="Z561" s="31">
        <f t="shared" si="119"/>
        <v>-0.24761575975060784</v>
      </c>
      <c r="AA561" s="31" t="str">
        <f t="shared" si="120"/>
        <v/>
      </c>
    </row>
    <row r="562" spans="1:27" x14ac:dyDescent="0.25">
      <c r="A562" s="6" t="str">
        <f t="shared" si="114"/>
        <v>fragment</v>
      </c>
      <c r="C562" s="6" t="str">
        <f t="shared" si="115"/>
        <v>HC21 2096</v>
      </c>
      <c r="D562" s="22" t="s">
        <v>965</v>
      </c>
      <c r="E562" s="22">
        <v>2096</v>
      </c>
      <c r="F562" s="22"/>
      <c r="G562" s="22" t="s">
        <v>1014</v>
      </c>
      <c r="H562" s="22" t="s">
        <v>1194</v>
      </c>
      <c r="I562" s="6" t="s">
        <v>20</v>
      </c>
      <c r="J562" s="30"/>
      <c r="K562" s="8" t="str">
        <f t="shared" si="116"/>
        <v/>
      </c>
      <c r="L562" s="8" t="str">
        <f t="shared" si="117"/>
        <v/>
      </c>
      <c r="M562" s="25">
        <v>0.80200000000000005</v>
      </c>
      <c r="N562" s="25">
        <f>0.543+1.012</f>
        <v>1.5550000000000002</v>
      </c>
      <c r="O562" s="25">
        <v>0.871</v>
      </c>
      <c r="P562" s="25">
        <f>0.248+1.306+0.309</f>
        <v>1.863</v>
      </c>
      <c r="Q562" s="23">
        <v>0.65800000000000003</v>
      </c>
      <c r="R562" s="23">
        <f>0.724+0.81+0.43</f>
        <v>1.964</v>
      </c>
      <c r="S562" s="8"/>
      <c r="T562" s="8"/>
      <c r="U562" s="8">
        <v>1.9389027431421448</v>
      </c>
      <c r="V562" s="8">
        <v>2.1389207807118256</v>
      </c>
      <c r="W562" s="8">
        <v>2.9848024316109423</v>
      </c>
      <c r="X562" s="8"/>
      <c r="Y562" s="31">
        <f t="shared" si="118"/>
        <v>-0.37184495142119134</v>
      </c>
      <c r="Z562" s="31">
        <f t="shared" si="119"/>
        <v>-0.37184495142119134</v>
      </c>
      <c r="AA562" s="31" t="str">
        <f t="shared" si="120"/>
        <v/>
      </c>
    </row>
    <row r="563" spans="1:27" x14ac:dyDescent="0.25">
      <c r="A563" s="6" t="str">
        <f t="shared" si="114"/>
        <v>fragment</v>
      </c>
      <c r="C563" s="6" t="str">
        <f t="shared" si="115"/>
        <v>HC21 2096</v>
      </c>
      <c r="D563" s="22" t="s">
        <v>965</v>
      </c>
      <c r="E563" s="22">
        <v>2096</v>
      </c>
      <c r="F563" s="22"/>
      <c r="G563" s="22" t="s">
        <v>1015</v>
      </c>
      <c r="H563" s="22" t="s">
        <v>1194</v>
      </c>
      <c r="I563" s="6" t="s">
        <v>20</v>
      </c>
      <c r="J563" s="30"/>
      <c r="K563" s="8" t="str">
        <f t="shared" si="116"/>
        <v/>
      </c>
      <c r="L563" s="8" t="str">
        <f t="shared" si="117"/>
        <v/>
      </c>
      <c r="M563" s="23"/>
      <c r="N563" s="23"/>
      <c r="O563" s="23">
        <v>1.345</v>
      </c>
      <c r="P563" s="23">
        <f>0.687+1.345+0.37</f>
        <v>2.4020000000000001</v>
      </c>
      <c r="Q563" s="23">
        <v>1.718</v>
      </c>
      <c r="R563" s="23">
        <f>0.381+1.493+0.785</f>
        <v>2.6590000000000003</v>
      </c>
      <c r="S563" s="8"/>
      <c r="T563" s="8"/>
      <c r="U563" s="8"/>
      <c r="V563" s="8">
        <v>1.7858736059479556</v>
      </c>
      <c r="W563" s="8">
        <v>1.5477299185098954</v>
      </c>
      <c r="X563" s="8"/>
      <c r="Y563" s="31">
        <f t="shared" si="118"/>
        <v>-0.22188395094404384</v>
      </c>
      <c r="Z563" s="31">
        <f t="shared" si="119"/>
        <v>-0.22188395094404384</v>
      </c>
      <c r="AA563" s="31" t="str">
        <f t="shared" si="120"/>
        <v/>
      </c>
    </row>
    <row r="564" spans="1:27" x14ac:dyDescent="0.25">
      <c r="A564" s="6" t="str">
        <f t="shared" si="114"/>
        <v>fragment</v>
      </c>
      <c r="C564" s="6" t="str">
        <f t="shared" si="115"/>
        <v>HC21 2096</v>
      </c>
      <c r="D564" s="22" t="s">
        <v>965</v>
      </c>
      <c r="E564" s="22">
        <v>2096</v>
      </c>
      <c r="F564" s="22"/>
      <c r="G564" s="22" t="s">
        <v>1016</v>
      </c>
      <c r="H564" s="22" t="s">
        <v>1194</v>
      </c>
      <c r="I564" s="6" t="s">
        <v>20</v>
      </c>
      <c r="J564" s="30"/>
      <c r="K564" s="8" t="str">
        <f t="shared" si="116"/>
        <v/>
      </c>
      <c r="L564" s="8" t="str">
        <f t="shared" si="117"/>
        <v/>
      </c>
      <c r="M564" s="23"/>
      <c r="N564" s="23"/>
      <c r="O564" s="23">
        <v>0.61</v>
      </c>
      <c r="P564" s="23">
        <f>0.656+0.683</f>
        <v>1.339</v>
      </c>
      <c r="Q564" s="23">
        <v>0.755</v>
      </c>
      <c r="R564" s="23">
        <f>0.342+1.098+0.543</f>
        <v>1.9830000000000001</v>
      </c>
      <c r="S564" s="8"/>
      <c r="T564" s="8"/>
      <c r="U564" s="8"/>
      <c r="V564" s="8">
        <v>2.1950819672131145</v>
      </c>
      <c r="W564" s="8">
        <v>2.6264900662251658</v>
      </c>
      <c r="X564" s="8"/>
      <c r="Y564" s="31">
        <f t="shared" si="118"/>
        <v>-0.38215866376512553</v>
      </c>
      <c r="Z564" s="31">
        <f t="shared" si="119"/>
        <v>-0.38215866376512553</v>
      </c>
      <c r="AA564" s="31" t="str">
        <f t="shared" si="120"/>
        <v/>
      </c>
    </row>
    <row r="565" spans="1:27" x14ac:dyDescent="0.25">
      <c r="A565" s="6" t="str">
        <f t="shared" si="114"/>
        <v>complete</v>
      </c>
      <c r="B565" s="6" t="s">
        <v>547</v>
      </c>
      <c r="C565" s="6" t="str">
        <f t="shared" si="115"/>
        <v>HC212 1491</v>
      </c>
      <c r="D565" s="6" t="s">
        <v>546</v>
      </c>
      <c r="E565" s="20">
        <v>1491</v>
      </c>
      <c r="F565" s="6" t="s">
        <v>312</v>
      </c>
      <c r="G565" s="6" t="s">
        <v>566</v>
      </c>
      <c r="H565" s="6" t="s">
        <v>977</v>
      </c>
      <c r="I565" s="8" t="s">
        <v>5</v>
      </c>
      <c r="J565" s="29">
        <v>4.4065099999999999</v>
      </c>
      <c r="K565" s="8">
        <f t="shared" si="116"/>
        <v>0.64409476003396737</v>
      </c>
      <c r="L565" s="8">
        <f t="shared" si="117"/>
        <v>6.0882531789178813</v>
      </c>
      <c r="M565" s="8"/>
      <c r="N565" s="8"/>
      <c r="O565" s="8">
        <v>0.185</v>
      </c>
      <c r="P565" s="8">
        <f>0.155+0.243+0.278</f>
        <v>0.67600000000000005</v>
      </c>
      <c r="Q565" s="8"/>
      <c r="R565" s="8"/>
      <c r="S565" s="8">
        <v>0.30499999999999999</v>
      </c>
      <c r="T565" s="8">
        <f>0.489+0.307+0.37</f>
        <v>1.1659999999999999</v>
      </c>
      <c r="U565" s="8"/>
      <c r="V565" s="8">
        <f t="shared" ref="V565:V572" si="123">P565/O565</f>
        <v>3.6540540540540545</v>
      </c>
      <c r="W565" s="8"/>
      <c r="X565" s="8">
        <f>T565/S565</f>
        <v>3.8229508196721311</v>
      </c>
      <c r="Y565" s="31">
        <f t="shared" si="118"/>
        <v>-0.57269766806838762</v>
      </c>
      <c r="Z565" s="31" t="str">
        <f t="shared" si="119"/>
        <v/>
      </c>
      <c r="AA565" s="31">
        <f t="shared" si="120"/>
        <v>-0.57269766806838762</v>
      </c>
    </row>
    <row r="566" spans="1:27" x14ac:dyDescent="0.25">
      <c r="A566" s="6" t="str">
        <f t="shared" si="114"/>
        <v>complete</v>
      </c>
      <c r="B566" s="6" t="s">
        <v>547</v>
      </c>
      <c r="C566" s="6" t="str">
        <f t="shared" si="115"/>
        <v>HC212 1852</v>
      </c>
      <c r="D566" s="6" t="s">
        <v>546</v>
      </c>
      <c r="E566" s="20">
        <v>1852</v>
      </c>
      <c r="G566" s="6" t="s">
        <v>564</v>
      </c>
      <c r="H566" s="6" t="s">
        <v>977</v>
      </c>
      <c r="I566" s="8" t="s">
        <v>5</v>
      </c>
      <c r="J566" s="29">
        <v>21.322980000000001</v>
      </c>
      <c r="K566" s="8">
        <f t="shared" si="116"/>
        <v>1.328847899562619</v>
      </c>
      <c r="L566" s="8">
        <f t="shared" si="117"/>
        <v>7.6649555503774272</v>
      </c>
      <c r="M566" s="8"/>
      <c r="N566" s="8"/>
      <c r="O566" s="8">
        <v>1.262</v>
      </c>
      <c r="P566" s="8">
        <f>0.709+0.82+0.626</f>
        <v>2.1549999999999998</v>
      </c>
      <c r="Q566" s="8"/>
      <c r="R566" s="8"/>
      <c r="S566" s="8"/>
      <c r="T566" s="8"/>
      <c r="U566" s="8"/>
      <c r="V566" s="8">
        <f t="shared" si="123"/>
        <v>1.707606973058637</v>
      </c>
      <c r="W566" s="8"/>
      <c r="X566" s="8"/>
      <c r="Y566" s="31">
        <f t="shared" si="118"/>
        <v>-0.23238791958863489</v>
      </c>
      <c r="Z566" s="31" t="str">
        <f t="shared" si="119"/>
        <v/>
      </c>
      <c r="AA566" s="31">
        <f t="shared" si="120"/>
        <v>-0.23238791958863489</v>
      </c>
    </row>
    <row r="567" spans="1:27" x14ac:dyDescent="0.25">
      <c r="A567" s="6" t="str">
        <f t="shared" si="114"/>
        <v>complete</v>
      </c>
      <c r="B567" s="6" t="s">
        <v>547</v>
      </c>
      <c r="C567" s="6" t="str">
        <f t="shared" si="115"/>
        <v>HC212 1852</v>
      </c>
      <c r="D567" s="6" t="s">
        <v>546</v>
      </c>
      <c r="E567" s="20">
        <v>1852</v>
      </c>
      <c r="G567" s="6" t="s">
        <v>565</v>
      </c>
      <c r="H567" s="6" t="s">
        <v>977</v>
      </c>
      <c r="I567" s="8" t="s">
        <v>5</v>
      </c>
      <c r="J567" s="29">
        <v>19.385819999999999</v>
      </c>
      <c r="K567" s="8">
        <f t="shared" si="116"/>
        <v>1.2874841759361237</v>
      </c>
      <c r="L567" s="8">
        <f t="shared" si="117"/>
        <v>7.5697120569643337</v>
      </c>
      <c r="M567" s="8"/>
      <c r="N567" s="8"/>
      <c r="O567" s="8">
        <v>0.73</v>
      </c>
      <c r="P567" s="8">
        <f>0.479+0.619+0.474</f>
        <v>1.5719999999999998</v>
      </c>
      <c r="Q567" s="8"/>
      <c r="R567" s="8"/>
      <c r="S567" s="8">
        <v>0.999</v>
      </c>
      <c r="T567" s="8">
        <f>0.794+0.754+0.442</f>
        <v>1.99</v>
      </c>
      <c r="U567" s="8"/>
      <c r="V567" s="8">
        <f t="shared" si="123"/>
        <v>2.1534246575342464</v>
      </c>
      <c r="W567" s="8"/>
      <c r="X567" s="8">
        <f>T567/S567</f>
        <v>1.991991991991992</v>
      </c>
      <c r="Y567" s="31">
        <f t="shared" si="118"/>
        <v>-0.31653819169430014</v>
      </c>
      <c r="Z567" s="31" t="str">
        <f t="shared" si="119"/>
        <v/>
      </c>
      <c r="AA567" s="31">
        <f t="shared" si="120"/>
        <v>-0.31653819169430014</v>
      </c>
    </row>
    <row r="568" spans="1:27" x14ac:dyDescent="0.25">
      <c r="A568" s="6" t="str">
        <f t="shared" si="114"/>
        <v>fragment</v>
      </c>
      <c r="B568" s="6" t="s">
        <v>547</v>
      </c>
      <c r="C568" s="6" t="str">
        <f t="shared" si="115"/>
        <v>HC212 2203</v>
      </c>
      <c r="D568" s="6" t="s">
        <v>546</v>
      </c>
      <c r="E568" s="20">
        <v>2203</v>
      </c>
      <c r="F568" s="6" t="s">
        <v>561</v>
      </c>
      <c r="G568" s="6" t="s">
        <v>562</v>
      </c>
      <c r="H568" s="6" t="s">
        <v>977</v>
      </c>
      <c r="I568" s="6" t="s">
        <v>5</v>
      </c>
      <c r="J568" s="29"/>
      <c r="K568" s="8" t="str">
        <f t="shared" si="116"/>
        <v/>
      </c>
      <c r="L568" s="8" t="str">
        <f t="shared" si="117"/>
        <v/>
      </c>
      <c r="M568" s="8"/>
      <c r="N568" s="8"/>
      <c r="O568" s="8">
        <v>0.30199999999999999</v>
      </c>
      <c r="P568" s="8">
        <f>0.249+0.367+0.553</f>
        <v>1.169</v>
      </c>
      <c r="Q568" s="8"/>
      <c r="R568" s="8"/>
      <c r="S568" s="8">
        <v>0.59199999999999997</v>
      </c>
      <c r="T568" s="8">
        <f>0.608+0.521+0.436</f>
        <v>1.5649999999999999</v>
      </c>
      <c r="U568" s="8"/>
      <c r="V568" s="8">
        <f t="shared" si="123"/>
        <v>3.870860927152318</v>
      </c>
      <c r="W568" s="8"/>
      <c r="X568" s="8">
        <f>T568/S568</f>
        <v>2.6435810810810811</v>
      </c>
      <c r="Y568" s="31">
        <f t="shared" si="118"/>
        <v>-0.5128472266680697</v>
      </c>
      <c r="Z568" s="31">
        <f t="shared" si="119"/>
        <v>-0.5128472266680697</v>
      </c>
      <c r="AA568" s="31" t="str">
        <f t="shared" si="120"/>
        <v/>
      </c>
    </row>
    <row r="569" spans="1:27" x14ac:dyDescent="0.25">
      <c r="A569" s="6" t="str">
        <f t="shared" si="114"/>
        <v>complete</v>
      </c>
      <c r="B569" s="6" t="s">
        <v>547</v>
      </c>
      <c r="C569" s="6" t="str">
        <f t="shared" si="115"/>
        <v>HC212 428</v>
      </c>
      <c r="D569" s="6" t="s">
        <v>546</v>
      </c>
      <c r="E569" s="20">
        <v>428</v>
      </c>
      <c r="F569" s="6" t="s">
        <v>154</v>
      </c>
      <c r="G569" s="6" t="s">
        <v>559</v>
      </c>
      <c r="H569" s="6" t="s">
        <v>979</v>
      </c>
      <c r="I569" s="6" t="s">
        <v>5</v>
      </c>
      <c r="J569" s="29">
        <v>40.895000000000003</v>
      </c>
      <c r="K569" s="8">
        <f t="shared" si="116"/>
        <v>1.6116702125268791</v>
      </c>
      <c r="L569" s="8">
        <f t="shared" si="117"/>
        <v>8.3161779921750281</v>
      </c>
      <c r="M569" s="8"/>
      <c r="N569" s="8"/>
      <c r="O569" s="8">
        <v>2.895</v>
      </c>
      <c r="P569" s="8">
        <f>0.533+1.285+1.032</f>
        <v>2.85</v>
      </c>
      <c r="Q569" s="8"/>
      <c r="R569" s="8"/>
      <c r="S569" s="8">
        <v>2.2789999999999999</v>
      </c>
      <c r="T569" s="8">
        <f>0.682+1.203+0.908</f>
        <v>2.7930000000000001</v>
      </c>
      <c r="U569" s="8"/>
      <c r="V569" s="8">
        <f t="shared" si="123"/>
        <v>0.98445595854922285</v>
      </c>
      <c r="W569" s="8"/>
      <c r="X569" s="8">
        <f>T569/S569</f>
        <v>1.2255375164545854</v>
      </c>
      <c r="Y569" s="31">
        <f t="shared" si="118"/>
        <v>-4.3360995770439968E-2</v>
      </c>
      <c r="Z569" s="31" t="str">
        <f t="shared" si="119"/>
        <v/>
      </c>
      <c r="AA569" s="31">
        <f t="shared" si="120"/>
        <v>-4.3360995770439968E-2</v>
      </c>
    </row>
    <row r="570" spans="1:27" x14ac:dyDescent="0.25">
      <c r="A570" s="6" t="str">
        <f t="shared" si="114"/>
        <v>complete</v>
      </c>
      <c r="B570" s="6" t="s">
        <v>547</v>
      </c>
      <c r="C570" s="6" t="str">
        <f t="shared" si="115"/>
        <v>HC212 567</v>
      </c>
      <c r="D570" s="6" t="s">
        <v>546</v>
      </c>
      <c r="E570" s="20">
        <v>567</v>
      </c>
      <c r="F570" s="6" t="s">
        <v>551</v>
      </c>
      <c r="G570" s="6" t="s">
        <v>552</v>
      </c>
      <c r="H570" s="6" t="s">
        <v>977</v>
      </c>
      <c r="I570" s="6" t="s">
        <v>5</v>
      </c>
      <c r="J570" s="29">
        <v>14.11</v>
      </c>
      <c r="K570" s="8">
        <f t="shared" si="116"/>
        <v>1.1495270137543478</v>
      </c>
      <c r="L570" s="8">
        <f t="shared" si="117"/>
        <v>7.2520539518528144</v>
      </c>
      <c r="M570" s="8"/>
      <c r="N570" s="8"/>
      <c r="O570" s="8">
        <v>0.96899999999999997</v>
      </c>
      <c r="P570" s="8">
        <f>0.424+0.671+0.727+0.464</f>
        <v>2.286</v>
      </c>
      <c r="Q570" s="8"/>
      <c r="R570" s="8"/>
      <c r="S570" s="8">
        <v>0.32</v>
      </c>
      <c r="T570" s="8">
        <f>0.313+0.331+0.286+0.313+0.311</f>
        <v>1.5539999999999998</v>
      </c>
      <c r="U570" s="8"/>
      <c r="V570" s="8">
        <f t="shared" si="123"/>
        <v>2.3591331269349847</v>
      </c>
      <c r="W570" s="8"/>
      <c r="X570" s="8">
        <f>T570/S570</f>
        <v>4.8562499999999993</v>
      </c>
      <c r="Y570" s="31">
        <f t="shared" si="118"/>
        <v>-0.55722940081835459</v>
      </c>
      <c r="Z570" s="31" t="str">
        <f t="shared" si="119"/>
        <v/>
      </c>
      <c r="AA570" s="31">
        <f t="shared" si="120"/>
        <v>-0.55722940081835459</v>
      </c>
    </row>
    <row r="571" spans="1:27" x14ac:dyDescent="0.25">
      <c r="A571" s="6" t="str">
        <f t="shared" si="114"/>
        <v>fragment</v>
      </c>
      <c r="B571" s="6" t="s">
        <v>547</v>
      </c>
      <c r="C571" s="6" t="str">
        <f t="shared" si="115"/>
        <v>HC212 567</v>
      </c>
      <c r="D571" s="6" t="s">
        <v>546</v>
      </c>
      <c r="E571" s="20">
        <v>567</v>
      </c>
      <c r="F571" s="6" t="s">
        <v>551</v>
      </c>
      <c r="G571" s="6" t="s">
        <v>553</v>
      </c>
      <c r="H571" s="6" t="s">
        <v>977</v>
      </c>
      <c r="I571" s="6" t="s">
        <v>5</v>
      </c>
      <c r="J571" s="29"/>
      <c r="K571" s="8" t="str">
        <f t="shared" si="116"/>
        <v/>
      </c>
      <c r="L571" s="8" t="str">
        <f t="shared" si="117"/>
        <v/>
      </c>
      <c r="M571" s="8"/>
      <c r="N571" s="8"/>
      <c r="O571" s="8">
        <v>0.30599999999999999</v>
      </c>
      <c r="P571" s="8">
        <f>0.368+0.375+0.373+0.252</f>
        <v>1.3680000000000001</v>
      </c>
      <c r="Q571" s="8"/>
      <c r="R571" s="8"/>
      <c r="S571" s="8">
        <v>0.64300000000000002</v>
      </c>
      <c r="T571" s="8">
        <f>0.58+0.471+0.536+0.331</f>
        <v>1.9179999999999999</v>
      </c>
      <c r="U571" s="8"/>
      <c r="V571" s="8">
        <f t="shared" si="123"/>
        <v>4.4705882352941178</v>
      </c>
      <c r="W571" s="8"/>
      <c r="X571" s="8">
        <f>T571/S571</f>
        <v>2.9828926905132191</v>
      </c>
      <c r="Y571" s="31">
        <f t="shared" si="118"/>
        <v>-0.57132914873625074</v>
      </c>
      <c r="Z571" s="31">
        <f t="shared" si="119"/>
        <v>-0.57132914873625074</v>
      </c>
      <c r="AA571" s="31" t="str">
        <f t="shared" si="120"/>
        <v/>
      </c>
    </row>
    <row r="572" spans="1:27" x14ac:dyDescent="0.25">
      <c r="A572" s="6" t="str">
        <f t="shared" si="114"/>
        <v>complete</v>
      </c>
      <c r="B572" s="6" t="s">
        <v>547</v>
      </c>
      <c r="C572" s="6" t="str">
        <f t="shared" si="115"/>
        <v>HC212 567</v>
      </c>
      <c r="D572" s="6" t="s">
        <v>546</v>
      </c>
      <c r="E572" s="20">
        <v>567</v>
      </c>
      <c r="F572" s="6" t="s">
        <v>551</v>
      </c>
      <c r="G572" s="6" t="s">
        <v>554</v>
      </c>
      <c r="H572" s="6" t="s">
        <v>977</v>
      </c>
      <c r="I572" s="6" t="s">
        <v>5</v>
      </c>
      <c r="J572" s="29">
        <f>10.469*2</f>
        <v>20.937999999999999</v>
      </c>
      <c r="K572" s="8">
        <f t="shared" si="116"/>
        <v>1.3209351954685953</v>
      </c>
      <c r="L572" s="8">
        <f t="shared" si="117"/>
        <v>7.6467358758852546</v>
      </c>
      <c r="M572" s="8">
        <v>0.41599999999999998</v>
      </c>
      <c r="N572" s="8">
        <f>0.384+0.458+0.35</f>
        <v>1.1920000000000002</v>
      </c>
      <c r="O572" s="8">
        <v>0.73299999999999998</v>
      </c>
      <c r="P572" s="8">
        <f>0.452+0.573+0.458+0.376+0.115</f>
        <v>1.974</v>
      </c>
      <c r="Q572" s="8"/>
      <c r="R572" s="8"/>
      <c r="S572" s="8"/>
      <c r="T572" s="8"/>
      <c r="U572" s="8">
        <f>N572/M572</f>
        <v>2.8653846153846159</v>
      </c>
      <c r="V572" s="8">
        <f t="shared" si="123"/>
        <v>2.6930422919508867</v>
      </c>
      <c r="W572" s="8"/>
      <c r="X572" s="8"/>
      <c r="Y572" s="31">
        <f t="shared" si="118"/>
        <v>-0.44392190344885085</v>
      </c>
      <c r="Z572" s="31" t="str">
        <f t="shared" si="119"/>
        <v/>
      </c>
      <c r="AA572" s="31">
        <f t="shared" si="120"/>
        <v>-0.44392190344885085</v>
      </c>
    </row>
    <row r="573" spans="1:27" x14ac:dyDescent="0.25">
      <c r="A573" s="6" t="str">
        <f t="shared" si="114"/>
        <v>complete</v>
      </c>
      <c r="B573" s="6" t="s">
        <v>547</v>
      </c>
      <c r="C573" s="6" t="str">
        <f t="shared" si="115"/>
        <v>HC212 567</v>
      </c>
      <c r="D573" s="6" t="s">
        <v>546</v>
      </c>
      <c r="E573" s="20">
        <v>567</v>
      </c>
      <c r="F573" s="6" t="s">
        <v>551</v>
      </c>
      <c r="G573" s="6" t="s">
        <v>555</v>
      </c>
      <c r="H573" s="6" t="s">
        <v>977</v>
      </c>
      <c r="I573" s="6" t="s">
        <v>5</v>
      </c>
      <c r="J573" s="29">
        <f>2.33*2</f>
        <v>4.66</v>
      </c>
      <c r="K573" s="8">
        <f t="shared" si="116"/>
        <v>0.66838591669000014</v>
      </c>
      <c r="L573" s="8">
        <f t="shared" si="117"/>
        <v>6.1441856341256456</v>
      </c>
      <c r="M573" s="8"/>
      <c r="N573" s="8"/>
      <c r="O573" s="8"/>
      <c r="P573" s="8"/>
      <c r="Q573" s="8"/>
      <c r="R573" s="8"/>
      <c r="S573" s="8">
        <v>0.44600000000000001</v>
      </c>
      <c r="T573" s="8">
        <f>0.823+0.318</f>
        <v>1.141</v>
      </c>
      <c r="U573" s="8"/>
      <c r="V573" s="8"/>
      <c r="W573" s="8"/>
      <c r="X573" s="8">
        <f>T573/S573</f>
        <v>2.5582959641255605</v>
      </c>
      <c r="Y573" s="31">
        <f t="shared" si="118"/>
        <v>-0.40795078570607274</v>
      </c>
      <c r="Z573" s="31" t="str">
        <f t="shared" si="119"/>
        <v/>
      </c>
      <c r="AA573" s="31">
        <f t="shared" si="120"/>
        <v>-0.40795078570607274</v>
      </c>
    </row>
    <row r="574" spans="1:27" x14ac:dyDescent="0.25">
      <c r="A574" s="6" t="str">
        <f t="shared" si="114"/>
        <v>complete</v>
      </c>
      <c r="B574" s="6" t="s">
        <v>547</v>
      </c>
      <c r="C574" s="6" t="str">
        <f t="shared" si="115"/>
        <v>HC212 567</v>
      </c>
      <c r="D574" s="6" t="s">
        <v>546</v>
      </c>
      <c r="E574" s="20">
        <v>567</v>
      </c>
      <c r="F574" s="6" t="s">
        <v>551</v>
      </c>
      <c r="G574" s="6" t="s">
        <v>556</v>
      </c>
      <c r="H574" s="6" t="s">
        <v>977</v>
      </c>
      <c r="I574" s="6" t="s">
        <v>5</v>
      </c>
      <c r="J574" s="29">
        <v>11.51872</v>
      </c>
      <c r="K574" s="8">
        <f t="shared" si="116"/>
        <v>1.0614042214637309</v>
      </c>
      <c r="L574" s="8">
        <f t="shared" si="117"/>
        <v>7.0491437239714285</v>
      </c>
      <c r="M574" s="8"/>
      <c r="N574" s="8"/>
      <c r="O574" s="8">
        <v>0.73599999999999999</v>
      </c>
      <c r="P574" s="8">
        <f>0.527+0.59+0.706</f>
        <v>1.823</v>
      </c>
      <c r="Q574" s="8"/>
      <c r="R574" s="8"/>
      <c r="S574" s="8">
        <v>0.49299999999999999</v>
      </c>
      <c r="T574" s="8">
        <f>0.336+0.485+0.475+0.326</f>
        <v>1.6219999999999999</v>
      </c>
      <c r="U574" s="8"/>
      <c r="V574" s="8">
        <f t="shared" ref="V574:V586" si="124">P574/O574</f>
        <v>2.4769021739130435</v>
      </c>
      <c r="W574" s="8"/>
      <c r="X574" s="8">
        <f>T574/S574</f>
        <v>3.2900608519269774</v>
      </c>
      <c r="Y574" s="31">
        <f t="shared" si="118"/>
        <v>-0.45991717133125321</v>
      </c>
      <c r="Z574" s="31" t="str">
        <f t="shared" si="119"/>
        <v/>
      </c>
      <c r="AA574" s="31">
        <f t="shared" si="120"/>
        <v>-0.45991717133125321</v>
      </c>
    </row>
    <row r="575" spans="1:27" x14ac:dyDescent="0.25">
      <c r="A575" s="6" t="str">
        <f t="shared" si="114"/>
        <v>fragment</v>
      </c>
      <c r="B575" s="6" t="s">
        <v>547</v>
      </c>
      <c r="C575" s="6" t="str">
        <f t="shared" si="115"/>
        <v>HC212 567</v>
      </c>
      <c r="D575" s="6" t="s">
        <v>546</v>
      </c>
      <c r="E575" s="20">
        <v>567</v>
      </c>
      <c r="F575" s="6" t="s">
        <v>551</v>
      </c>
      <c r="G575" s="6" t="s">
        <v>557</v>
      </c>
      <c r="H575" s="6" t="s">
        <v>977</v>
      </c>
      <c r="I575" s="6" t="s">
        <v>5</v>
      </c>
      <c r="J575" s="29"/>
      <c r="K575" s="8" t="str">
        <f t="shared" si="116"/>
        <v/>
      </c>
      <c r="L575" s="8" t="str">
        <f t="shared" si="117"/>
        <v/>
      </c>
      <c r="M575" s="8"/>
      <c r="N575" s="8"/>
      <c r="O575" s="8">
        <v>0.70899999999999996</v>
      </c>
      <c r="P575" s="8">
        <f>0.291+0.474+0.452+0.46+0.349+0.452</f>
        <v>2.4779999999999998</v>
      </c>
      <c r="Q575" s="8"/>
      <c r="R575" s="8"/>
      <c r="S575" s="8"/>
      <c r="T575" s="8"/>
      <c r="U575" s="8"/>
      <c r="V575" s="8">
        <f t="shared" si="124"/>
        <v>3.4950634696755993</v>
      </c>
      <c r="W575" s="8"/>
      <c r="X575" s="8"/>
      <c r="Y575" s="31">
        <f t="shared" si="118"/>
        <v>-0.54345506685697809</v>
      </c>
      <c r="Z575" s="31">
        <f t="shared" si="119"/>
        <v>-0.54345506685697809</v>
      </c>
      <c r="AA575" s="31" t="str">
        <f t="shared" si="120"/>
        <v/>
      </c>
    </row>
    <row r="576" spans="1:27" x14ac:dyDescent="0.25">
      <c r="A576" s="6" t="str">
        <f t="shared" si="114"/>
        <v>fragment</v>
      </c>
      <c r="B576" s="6" t="s">
        <v>547</v>
      </c>
      <c r="C576" s="6" t="str">
        <f t="shared" si="115"/>
        <v>HC212 567</v>
      </c>
      <c r="D576" s="6" t="s">
        <v>546</v>
      </c>
      <c r="E576" s="20">
        <v>567</v>
      </c>
      <c r="F576" s="6" t="s">
        <v>551</v>
      </c>
      <c r="G576" s="6" t="s">
        <v>558</v>
      </c>
      <c r="H576" s="6" t="s">
        <v>977</v>
      </c>
      <c r="I576" s="6" t="s">
        <v>5</v>
      </c>
      <c r="J576" s="29"/>
      <c r="K576" s="8" t="str">
        <f t="shared" si="116"/>
        <v/>
      </c>
      <c r="L576" s="8" t="str">
        <f t="shared" si="117"/>
        <v/>
      </c>
      <c r="M576" s="8"/>
      <c r="N576" s="8"/>
      <c r="O576" s="8">
        <v>0.52500000000000002</v>
      </c>
      <c r="P576" s="8">
        <f>0.292+0.464+0.147+0.469+0.086</f>
        <v>1.458</v>
      </c>
      <c r="Q576" s="8"/>
      <c r="R576" s="8"/>
      <c r="S576" s="8">
        <v>0.91100000000000003</v>
      </c>
      <c r="T576" s="8">
        <f>0.172+0.553+0.563+0.522</f>
        <v>1.81</v>
      </c>
      <c r="U576" s="8"/>
      <c r="V576" s="8">
        <f t="shared" si="124"/>
        <v>2.7771428571428571</v>
      </c>
      <c r="W576" s="8"/>
      <c r="X576" s="8">
        <f>T576/S576</f>
        <v>1.9868276619099889</v>
      </c>
      <c r="Y576" s="31">
        <f t="shared" si="118"/>
        <v>-0.37693906960429729</v>
      </c>
      <c r="Z576" s="31">
        <f t="shared" si="119"/>
        <v>-0.37693906960429729</v>
      </c>
      <c r="AA576" s="31" t="str">
        <f t="shared" si="120"/>
        <v/>
      </c>
    </row>
    <row r="577" spans="1:27" x14ac:dyDescent="0.25">
      <c r="A577" s="6" t="str">
        <f t="shared" si="114"/>
        <v>fragment</v>
      </c>
      <c r="B577" s="6" t="s">
        <v>547</v>
      </c>
      <c r="C577" s="6" t="str">
        <f t="shared" si="115"/>
        <v>HC212 567</v>
      </c>
      <c r="D577" s="6" t="s">
        <v>546</v>
      </c>
      <c r="E577" s="20">
        <v>567</v>
      </c>
      <c r="F577" s="6" t="s">
        <v>551</v>
      </c>
      <c r="G577" s="6" t="s">
        <v>560</v>
      </c>
      <c r="H577" s="6" t="s">
        <v>977</v>
      </c>
      <c r="I577" s="6" t="s">
        <v>5</v>
      </c>
      <c r="J577" s="29"/>
      <c r="K577" s="8" t="str">
        <f t="shared" si="116"/>
        <v/>
      </c>
      <c r="L577" s="8" t="str">
        <f t="shared" si="117"/>
        <v/>
      </c>
      <c r="M577" s="8"/>
      <c r="N577" s="8"/>
      <c r="O577" s="8">
        <v>0.46400000000000002</v>
      </c>
      <c r="P577" s="8">
        <f>0.361+0.06+0.386+0.404</f>
        <v>1.2109999999999999</v>
      </c>
      <c r="Q577" s="8"/>
      <c r="R577" s="8"/>
      <c r="S577" s="8">
        <v>0.54400000000000004</v>
      </c>
      <c r="T577" s="8">
        <f>0.469+0.537+0.608</f>
        <v>1.6139999999999999</v>
      </c>
      <c r="U577" s="8"/>
      <c r="V577" s="8">
        <f t="shared" si="124"/>
        <v>2.609913793103448</v>
      </c>
      <c r="W577" s="8"/>
      <c r="X577" s="8">
        <f>T577/S577</f>
        <v>2.9669117647058818</v>
      </c>
      <c r="Y577" s="31">
        <f t="shared" si="118"/>
        <v>-0.44535706437972689</v>
      </c>
      <c r="Z577" s="31">
        <f t="shared" si="119"/>
        <v>-0.44535706437972689</v>
      </c>
      <c r="AA577" s="31" t="str">
        <f t="shared" si="120"/>
        <v/>
      </c>
    </row>
    <row r="578" spans="1:27" x14ac:dyDescent="0.25">
      <c r="A578" s="6" t="str">
        <f t="shared" ref="A578:A641" si="125">IF(J578&gt;0,"complete","fragment")</f>
        <v>complete</v>
      </c>
      <c r="B578" s="6" t="s">
        <v>547</v>
      </c>
      <c r="C578" s="6" t="str">
        <f t="shared" ref="C578:C641" si="126">D578&amp;" "&amp;E578</f>
        <v>HC212 571</v>
      </c>
      <c r="D578" s="6" t="s">
        <v>546</v>
      </c>
      <c r="E578" s="20">
        <v>571</v>
      </c>
      <c r="F578" s="6" t="s">
        <v>545</v>
      </c>
      <c r="G578" s="6" t="s">
        <v>548</v>
      </c>
      <c r="H578" s="6" t="s">
        <v>977</v>
      </c>
      <c r="I578" s="6" t="s">
        <v>5</v>
      </c>
      <c r="J578" s="29">
        <f>5.544*2</f>
        <v>11.087999999999999</v>
      </c>
      <c r="K578" s="8">
        <f t="shared" ref="K578:K641" si="127">IF(J578&gt;0,LOG(J578),"")</f>
        <v>1.0448532172677314</v>
      </c>
      <c r="L578" s="8">
        <f t="shared" ref="L578:L641" si="128">IF(J578&gt;0,LN(J578*100),"")</f>
        <v>7.0110336284356389</v>
      </c>
      <c r="M578" s="8"/>
      <c r="N578" s="8"/>
      <c r="O578" s="8">
        <v>0.59899999999999998</v>
      </c>
      <c r="P578" s="8">
        <f>0.446+0.536+0.56</f>
        <v>1.542</v>
      </c>
      <c r="Q578" s="8"/>
      <c r="R578" s="8"/>
      <c r="S578" s="8">
        <v>0.313</v>
      </c>
      <c r="T578" s="8">
        <f>0.337+0.33+0.341</f>
        <v>1.008</v>
      </c>
      <c r="U578" s="8"/>
      <c r="V578" s="8">
        <f t="shared" si="124"/>
        <v>2.5742904841402341</v>
      </c>
      <c r="W578" s="8"/>
      <c r="X578" s="8">
        <f>T578/S578</f>
        <v>3.220447284345048</v>
      </c>
      <c r="Y578" s="31">
        <f t="shared" ref="Y578:Y641" si="129">IF(COUNT(U578:X578)&gt;0,LOG(1/AVERAGE(U578:X578)),"")</f>
        <v>-0.46200379178375417</v>
      </c>
      <c r="Z578" s="31" t="str">
        <f t="shared" ref="Z578:Z641" si="130">IF(A578="fragment",IF(ISNUMBER(Y578)=TRUE,Y578,""),"")</f>
        <v/>
      </c>
      <c r="AA578" s="31">
        <f t="shared" ref="AA578:AA641" si="131">IF(A578="complete",IF(ISNUMBER(Y578)=TRUE,Y578,""),"")</f>
        <v>-0.46200379178375417</v>
      </c>
    </row>
    <row r="579" spans="1:27" x14ac:dyDescent="0.25">
      <c r="A579" s="6" t="str">
        <f t="shared" si="125"/>
        <v>fragment</v>
      </c>
      <c r="B579" s="6" t="s">
        <v>547</v>
      </c>
      <c r="C579" s="6" t="str">
        <f t="shared" si="126"/>
        <v>HC212 571</v>
      </c>
      <c r="D579" s="6" t="s">
        <v>546</v>
      </c>
      <c r="E579" s="20">
        <v>571</v>
      </c>
      <c r="F579" s="6" t="s">
        <v>545</v>
      </c>
      <c r="G579" s="6" t="s">
        <v>549</v>
      </c>
      <c r="H579" s="6" t="s">
        <v>977</v>
      </c>
      <c r="I579" s="6" t="s">
        <v>5</v>
      </c>
      <c r="J579" s="29"/>
      <c r="K579" s="8" t="str">
        <f t="shared" si="127"/>
        <v/>
      </c>
      <c r="L579" s="8" t="str">
        <f t="shared" si="128"/>
        <v/>
      </c>
      <c r="M579" s="8"/>
      <c r="N579" s="8"/>
      <c r="O579" s="8">
        <v>0.45300000000000001</v>
      </c>
      <c r="P579" s="8">
        <f>0.361+0.43+0.209</f>
        <v>0.99999999999999989</v>
      </c>
      <c r="Q579" s="8"/>
      <c r="R579" s="8"/>
      <c r="S579" s="8">
        <v>0.379</v>
      </c>
      <c r="T579" s="8">
        <f>0.28+0.461+0.318</f>
        <v>1.0590000000000002</v>
      </c>
      <c r="U579" s="8"/>
      <c r="V579" s="8">
        <f t="shared" si="124"/>
        <v>2.2075055187637966</v>
      </c>
      <c r="W579" s="8"/>
      <c r="X579" s="8">
        <f>T579/S579</f>
        <v>2.794195250659631</v>
      </c>
      <c r="Y579" s="31">
        <f t="shared" si="129"/>
        <v>-0.39808771050790176</v>
      </c>
      <c r="Z579" s="31">
        <f t="shared" si="130"/>
        <v>-0.39808771050790176</v>
      </c>
      <c r="AA579" s="31" t="str">
        <f t="shared" si="131"/>
        <v/>
      </c>
    </row>
    <row r="580" spans="1:27" x14ac:dyDescent="0.25">
      <c r="A580" s="6" t="str">
        <f t="shared" si="125"/>
        <v>fragment</v>
      </c>
      <c r="B580" s="6" t="s">
        <v>547</v>
      </c>
      <c r="C580" s="6" t="str">
        <f t="shared" si="126"/>
        <v>HC212 571</v>
      </c>
      <c r="D580" s="6" t="s">
        <v>546</v>
      </c>
      <c r="E580" s="20">
        <v>571</v>
      </c>
      <c r="F580" s="6" t="s">
        <v>545</v>
      </c>
      <c r="G580" s="6" t="s">
        <v>550</v>
      </c>
      <c r="H580" s="6" t="s">
        <v>977</v>
      </c>
      <c r="I580" s="6" t="s">
        <v>5</v>
      </c>
      <c r="J580" s="29"/>
      <c r="K580" s="8" t="str">
        <f t="shared" si="127"/>
        <v/>
      </c>
      <c r="L580" s="8" t="str">
        <f t="shared" si="128"/>
        <v/>
      </c>
      <c r="M580" s="8"/>
      <c r="N580" s="8"/>
      <c r="O580" s="8">
        <v>1.3080000000000001</v>
      </c>
      <c r="P580" s="8">
        <f>0.841+1.235+0.495</f>
        <v>2.5710000000000002</v>
      </c>
      <c r="Q580" s="8"/>
      <c r="R580" s="8"/>
      <c r="S580" s="8">
        <v>0.92800000000000005</v>
      </c>
      <c r="T580" s="8">
        <f>1.546+0.928</f>
        <v>2.4740000000000002</v>
      </c>
      <c r="U580" s="8"/>
      <c r="V580" s="8">
        <f t="shared" si="124"/>
        <v>1.9655963302752295</v>
      </c>
      <c r="W580" s="8"/>
      <c r="X580" s="8">
        <f>T580/S580</f>
        <v>2.665948275862069</v>
      </c>
      <c r="Y580" s="31">
        <f t="shared" si="129"/>
        <v>-0.36469585540850702</v>
      </c>
      <c r="Z580" s="31">
        <f t="shared" si="130"/>
        <v>-0.36469585540850702</v>
      </c>
      <c r="AA580" s="31" t="str">
        <f t="shared" si="131"/>
        <v/>
      </c>
    </row>
    <row r="581" spans="1:27" x14ac:dyDescent="0.25">
      <c r="A581" s="6" t="str">
        <f t="shared" si="125"/>
        <v>complete</v>
      </c>
      <c r="B581" s="6" t="s">
        <v>568</v>
      </c>
      <c r="C581" s="6" t="str">
        <f t="shared" si="126"/>
        <v>HC224 2203</v>
      </c>
      <c r="D581" s="6" t="s">
        <v>567</v>
      </c>
      <c r="E581" s="20">
        <v>2203</v>
      </c>
      <c r="F581" s="6" t="s">
        <v>561</v>
      </c>
      <c r="G581" s="6" t="s">
        <v>569</v>
      </c>
      <c r="H581" s="6" t="s">
        <v>977</v>
      </c>
      <c r="I581" s="6" t="s">
        <v>20</v>
      </c>
      <c r="J581" s="29">
        <v>4.1929999999999996</v>
      </c>
      <c r="K581" s="8">
        <f t="shared" si="127"/>
        <v>0.62252486240356819</v>
      </c>
      <c r="L581" s="8">
        <f t="shared" si="128"/>
        <v>6.0385866541767168</v>
      </c>
      <c r="M581" s="8">
        <v>0.26500000000000001</v>
      </c>
      <c r="N581" s="8">
        <f>0.285+0.45+0.144</f>
        <v>0.879</v>
      </c>
      <c r="O581" s="8">
        <v>0.49</v>
      </c>
      <c r="P581" s="8">
        <f>0.32+0.816+0.232+0.373</f>
        <v>1.7409999999999999</v>
      </c>
      <c r="Q581" s="8"/>
      <c r="R581" s="8"/>
      <c r="S581" s="8"/>
      <c r="T581" s="8"/>
      <c r="U581" s="8">
        <f>N581/M581</f>
        <v>3.3169811320754716</v>
      </c>
      <c r="V581" s="8">
        <f t="shared" si="124"/>
        <v>3.5530612244897957</v>
      </c>
      <c r="W581" s="8"/>
      <c r="X581" s="8"/>
      <c r="Y581" s="31">
        <f t="shared" si="129"/>
        <v>-0.53592941900340929</v>
      </c>
      <c r="Z581" s="31" t="str">
        <f t="shared" si="130"/>
        <v/>
      </c>
      <c r="AA581" s="31">
        <f t="shared" si="131"/>
        <v>-0.53592941900340929</v>
      </c>
    </row>
    <row r="582" spans="1:27" x14ac:dyDescent="0.25">
      <c r="A582" s="6" t="str">
        <f t="shared" si="125"/>
        <v>complete</v>
      </c>
      <c r="B582" s="6" t="s">
        <v>568</v>
      </c>
      <c r="C582" s="6" t="str">
        <f t="shared" si="126"/>
        <v>HC224 2203</v>
      </c>
      <c r="D582" s="6" t="s">
        <v>567</v>
      </c>
      <c r="E582" s="20">
        <v>2203</v>
      </c>
      <c r="F582" s="6" t="s">
        <v>561</v>
      </c>
      <c r="G582" s="6" t="s">
        <v>570</v>
      </c>
      <c r="H582" s="6" t="s">
        <v>977</v>
      </c>
      <c r="I582" s="6" t="s">
        <v>20</v>
      </c>
      <c r="J582" s="29">
        <v>0.77300000000000002</v>
      </c>
      <c r="K582" s="8">
        <f t="shared" si="127"/>
        <v>-0.11182050608167508</v>
      </c>
      <c r="L582" s="8">
        <f t="shared" si="128"/>
        <v>4.3476939555933765</v>
      </c>
      <c r="M582" s="8"/>
      <c r="N582" s="8"/>
      <c r="O582" s="8">
        <v>0.13700000000000001</v>
      </c>
      <c r="P582" s="8">
        <f>0.156+0.451+0.053+0.478+0.118</f>
        <v>1.2559999999999998</v>
      </c>
      <c r="Q582" s="8"/>
      <c r="R582" s="8"/>
      <c r="S582" s="8"/>
      <c r="T582" s="8"/>
      <c r="U582" s="8"/>
      <c r="V582" s="8">
        <f t="shared" si="124"/>
        <v>9.1678832116788307</v>
      </c>
      <c r="W582" s="8"/>
      <c r="X582" s="8"/>
      <c r="Y582" s="31">
        <f t="shared" si="129"/>
        <v>-0.96226907224477043</v>
      </c>
      <c r="Z582" s="31" t="str">
        <f t="shared" si="130"/>
        <v/>
      </c>
      <c r="AA582" s="31">
        <f t="shared" si="131"/>
        <v>-0.96226907224477043</v>
      </c>
    </row>
    <row r="583" spans="1:27" x14ac:dyDescent="0.25">
      <c r="A583" s="6" t="str">
        <f t="shared" si="125"/>
        <v>complete</v>
      </c>
      <c r="B583" s="6" t="s">
        <v>568</v>
      </c>
      <c r="C583" s="6" t="str">
        <f t="shared" si="126"/>
        <v>HC224 2203</v>
      </c>
      <c r="D583" s="6" t="s">
        <v>567</v>
      </c>
      <c r="E583" s="20">
        <v>2203</v>
      </c>
      <c r="F583" s="6" t="s">
        <v>561</v>
      </c>
      <c r="G583" s="6" t="s">
        <v>571</v>
      </c>
      <c r="H583" s="6" t="s">
        <v>977</v>
      </c>
      <c r="I583" s="6" t="s">
        <v>20</v>
      </c>
      <c r="J583" s="29">
        <f>9.168*2</f>
        <v>18.335999999999999</v>
      </c>
      <c r="K583" s="8">
        <f t="shared" si="127"/>
        <v>1.2633046002872959</v>
      </c>
      <c r="L583" s="8">
        <f t="shared" si="128"/>
        <v>7.5140365265204201</v>
      </c>
      <c r="M583" s="8"/>
      <c r="N583" s="8"/>
      <c r="O583" s="8">
        <v>2.7360000000000002</v>
      </c>
      <c r="P583" s="8">
        <f>0.435+1.322+0.123+2.27+1.459+0.301</f>
        <v>5.91</v>
      </c>
      <c r="Q583" s="8"/>
      <c r="R583" s="8"/>
      <c r="S583" s="8"/>
      <c r="T583" s="8"/>
      <c r="U583" s="8"/>
      <c r="V583" s="8">
        <f t="shared" si="124"/>
        <v>2.1600877192982453</v>
      </c>
      <c r="W583" s="8"/>
      <c r="X583" s="8"/>
      <c r="Y583" s="31">
        <f t="shared" si="129"/>
        <v>-0.3344713878331767</v>
      </c>
      <c r="Z583" s="31" t="str">
        <f t="shared" si="130"/>
        <v/>
      </c>
      <c r="AA583" s="31">
        <f t="shared" si="131"/>
        <v>-0.3344713878331767</v>
      </c>
    </row>
    <row r="584" spans="1:27" x14ac:dyDescent="0.25">
      <c r="A584" s="6" t="str">
        <f t="shared" si="125"/>
        <v>fragment</v>
      </c>
      <c r="B584" s="6" t="s">
        <v>568</v>
      </c>
      <c r="C584" s="6" t="str">
        <f t="shared" si="126"/>
        <v>HC224 2203</v>
      </c>
      <c r="D584" s="6" t="s">
        <v>567</v>
      </c>
      <c r="E584" s="20">
        <v>2203</v>
      </c>
      <c r="F584" s="6" t="s">
        <v>561</v>
      </c>
      <c r="G584" s="6" t="s">
        <v>572</v>
      </c>
      <c r="H584" s="6" t="s">
        <v>977</v>
      </c>
      <c r="I584" s="6" t="s">
        <v>20</v>
      </c>
      <c r="J584" s="29"/>
      <c r="K584" s="8" t="str">
        <f t="shared" si="127"/>
        <v/>
      </c>
      <c r="L584" s="8" t="str">
        <f t="shared" si="128"/>
        <v/>
      </c>
      <c r="M584" s="8"/>
      <c r="N584" s="8"/>
      <c r="O584" s="8">
        <v>0.505</v>
      </c>
      <c r="P584" s="8">
        <f>0.61+0.497</f>
        <v>1.107</v>
      </c>
      <c r="Q584" s="8"/>
      <c r="R584" s="8"/>
      <c r="S584" s="8"/>
      <c r="T584" s="8"/>
      <c r="U584" s="8"/>
      <c r="V584" s="8">
        <f t="shared" si="124"/>
        <v>2.1920792079207922</v>
      </c>
      <c r="W584" s="8"/>
      <c r="X584" s="8"/>
      <c r="Y584" s="31">
        <f t="shared" si="129"/>
        <v>-0.34085624276006143</v>
      </c>
      <c r="Z584" s="31">
        <f t="shared" si="130"/>
        <v>-0.34085624276006143</v>
      </c>
      <c r="AA584" s="31" t="str">
        <f t="shared" si="131"/>
        <v/>
      </c>
    </row>
    <row r="585" spans="1:27" x14ac:dyDescent="0.25">
      <c r="A585" s="6" t="str">
        <f t="shared" si="125"/>
        <v>complete</v>
      </c>
      <c r="B585" s="6" t="s">
        <v>568</v>
      </c>
      <c r="C585" s="6" t="str">
        <f t="shared" si="126"/>
        <v>HC224 2203</v>
      </c>
      <c r="D585" s="6" t="s">
        <v>567</v>
      </c>
      <c r="E585" s="20">
        <v>2203</v>
      </c>
      <c r="F585" s="6" t="s">
        <v>561</v>
      </c>
      <c r="G585" s="6" t="s">
        <v>573</v>
      </c>
      <c r="H585" s="6" t="s">
        <v>977</v>
      </c>
      <c r="I585" s="6" t="s">
        <v>20</v>
      </c>
      <c r="J585" s="29">
        <v>2.4020000000000001</v>
      </c>
      <c r="K585" s="8">
        <f t="shared" si="127"/>
        <v>0.38057300306688729</v>
      </c>
      <c r="L585" s="8">
        <f t="shared" si="128"/>
        <v>5.481471909645883</v>
      </c>
      <c r="M585" s="8"/>
      <c r="N585" s="8"/>
      <c r="O585" s="8">
        <v>0.28199999999999997</v>
      </c>
      <c r="P585" s="8">
        <f>0.41+0.431+0.281</f>
        <v>1.1219999999999999</v>
      </c>
      <c r="Q585" s="8"/>
      <c r="R585" s="8"/>
      <c r="S585" s="8"/>
      <c r="T585" s="8"/>
      <c r="U585" s="8"/>
      <c r="V585" s="8">
        <f t="shared" si="124"/>
        <v>3.978723404255319</v>
      </c>
      <c r="W585" s="8"/>
      <c r="X585" s="8"/>
      <c r="Y585" s="31">
        <f t="shared" si="129"/>
        <v>-0.5997437486007815</v>
      </c>
      <c r="Z585" s="31" t="str">
        <f t="shared" si="130"/>
        <v/>
      </c>
      <c r="AA585" s="31">
        <f t="shared" si="131"/>
        <v>-0.5997437486007815</v>
      </c>
    </row>
    <row r="586" spans="1:27" x14ac:dyDescent="0.25">
      <c r="A586" s="6" t="str">
        <f t="shared" si="125"/>
        <v>fragment</v>
      </c>
      <c r="B586" s="6" t="s">
        <v>568</v>
      </c>
      <c r="C586" s="6" t="str">
        <f t="shared" si="126"/>
        <v>HC224 2203</v>
      </c>
      <c r="D586" s="6" t="s">
        <v>567</v>
      </c>
      <c r="E586" s="20">
        <v>2203</v>
      </c>
      <c r="F586" s="6" t="s">
        <v>561</v>
      </c>
      <c r="G586" s="6" t="s">
        <v>574</v>
      </c>
      <c r="H586" s="6" t="s">
        <v>977</v>
      </c>
      <c r="I586" s="6" t="s">
        <v>20</v>
      </c>
      <c r="J586" s="29"/>
      <c r="K586" s="8" t="str">
        <f t="shared" si="127"/>
        <v/>
      </c>
      <c r="L586" s="8" t="str">
        <f t="shared" si="128"/>
        <v/>
      </c>
      <c r="M586" s="8"/>
      <c r="N586" s="8"/>
      <c r="O586" s="8">
        <v>0.67</v>
      </c>
      <c r="P586" s="8">
        <f>0.847+0.884+0.151</f>
        <v>1.8819999999999999</v>
      </c>
      <c r="Q586" s="8">
        <v>0.25600000000000001</v>
      </c>
      <c r="R586" s="8">
        <f>0.375+0.347+0.304</f>
        <v>1.026</v>
      </c>
      <c r="S586" s="8"/>
      <c r="T586" s="8"/>
      <c r="U586" s="8"/>
      <c r="V586" s="8">
        <f t="shared" si="124"/>
        <v>2.8089552238805968</v>
      </c>
      <c r="W586" s="8">
        <f>R586/Q586</f>
        <v>4.0078125</v>
      </c>
      <c r="X586" s="8"/>
      <c r="Y586" s="31">
        <f t="shared" si="129"/>
        <v>-0.5325485003360072</v>
      </c>
      <c r="Z586" s="31">
        <f t="shared" si="130"/>
        <v>-0.5325485003360072</v>
      </c>
      <c r="AA586" s="31" t="str">
        <f t="shared" si="131"/>
        <v/>
      </c>
    </row>
    <row r="587" spans="1:27" x14ac:dyDescent="0.25">
      <c r="A587" s="6" t="str">
        <f t="shared" si="125"/>
        <v>fragment</v>
      </c>
      <c r="B587" s="6" t="s">
        <v>568</v>
      </c>
      <c r="C587" s="6" t="str">
        <f t="shared" si="126"/>
        <v>HC224 2203</v>
      </c>
      <c r="D587" s="6" t="s">
        <v>567</v>
      </c>
      <c r="E587" s="20">
        <v>2203</v>
      </c>
      <c r="F587" s="6" t="s">
        <v>561</v>
      </c>
      <c r="G587" s="6" t="s">
        <v>575</v>
      </c>
      <c r="H587" s="6" t="s">
        <v>977</v>
      </c>
      <c r="I587" s="6" t="s">
        <v>20</v>
      </c>
      <c r="J587" s="29"/>
      <c r="K587" s="8" t="str">
        <f t="shared" si="127"/>
        <v/>
      </c>
      <c r="L587" s="8" t="str">
        <f t="shared" si="128"/>
        <v/>
      </c>
      <c r="M587" s="8"/>
      <c r="N587" s="8"/>
      <c r="O587" s="8"/>
      <c r="P587" s="8"/>
      <c r="Q587" s="8">
        <v>0.54200000000000004</v>
      </c>
      <c r="R587" s="8">
        <f>0.613+0.976+0.31</f>
        <v>1.899</v>
      </c>
      <c r="S587" s="8"/>
      <c r="T587" s="8"/>
      <c r="U587" s="8"/>
      <c r="V587" s="8"/>
      <c r="W587" s="8">
        <f>R587/Q587</f>
        <v>3.5036900369003687</v>
      </c>
      <c r="X587" s="8"/>
      <c r="Y587" s="31">
        <f t="shared" si="129"/>
        <v>-0.54452567819863062</v>
      </c>
      <c r="Z587" s="31">
        <f t="shared" si="130"/>
        <v>-0.54452567819863062</v>
      </c>
      <c r="AA587" s="31" t="str">
        <f t="shared" si="131"/>
        <v/>
      </c>
    </row>
    <row r="588" spans="1:27" x14ac:dyDescent="0.25">
      <c r="A588" s="6" t="str">
        <f t="shared" si="125"/>
        <v>fragment</v>
      </c>
      <c r="B588" s="6" t="s">
        <v>568</v>
      </c>
      <c r="C588" s="6" t="str">
        <f t="shared" si="126"/>
        <v>HC224 2203</v>
      </c>
      <c r="D588" s="6" t="s">
        <v>567</v>
      </c>
      <c r="E588" s="20">
        <v>2203</v>
      </c>
      <c r="F588" s="6" t="s">
        <v>561</v>
      </c>
      <c r="G588" s="6" t="s">
        <v>576</v>
      </c>
      <c r="H588" s="6" t="s">
        <v>977</v>
      </c>
      <c r="I588" s="6" t="s">
        <v>20</v>
      </c>
      <c r="J588" s="29"/>
      <c r="K588" s="8" t="str">
        <f t="shared" si="127"/>
        <v/>
      </c>
      <c r="L588" s="8" t="str">
        <f t="shared" si="128"/>
        <v/>
      </c>
      <c r="M588" s="8"/>
      <c r="N588" s="8"/>
      <c r="O588" s="8"/>
      <c r="P588" s="8"/>
      <c r="Q588" s="8">
        <v>0.68600000000000005</v>
      </c>
      <c r="R588" s="8">
        <f>0.888+0.748</f>
        <v>1.6360000000000001</v>
      </c>
      <c r="S588" s="8">
        <v>0.91100000000000003</v>
      </c>
      <c r="T588" s="8">
        <f>0.311+1.418+0.419</f>
        <v>2.1479999999999997</v>
      </c>
      <c r="U588" s="8"/>
      <c r="V588" s="8"/>
      <c r="W588" s="8">
        <f>R588/Q588</f>
        <v>2.3848396501457727</v>
      </c>
      <c r="X588" s="8">
        <f>T588/S588</f>
        <v>2.3578485181119646</v>
      </c>
      <c r="Y588" s="31">
        <f t="shared" si="129"/>
        <v>-0.37499457506484468</v>
      </c>
      <c r="Z588" s="31">
        <f t="shared" si="130"/>
        <v>-0.37499457506484468</v>
      </c>
      <c r="AA588" s="31" t="str">
        <f t="shared" si="131"/>
        <v/>
      </c>
    </row>
    <row r="589" spans="1:27" x14ac:dyDescent="0.25">
      <c r="A589" s="6" t="str">
        <f t="shared" si="125"/>
        <v>complete</v>
      </c>
      <c r="B589" s="6" t="s">
        <v>568</v>
      </c>
      <c r="C589" s="6" t="str">
        <f t="shared" si="126"/>
        <v>HC224 2203</v>
      </c>
      <c r="D589" s="6" t="s">
        <v>567</v>
      </c>
      <c r="E589" s="20">
        <v>2203</v>
      </c>
      <c r="F589" s="6" t="s">
        <v>561</v>
      </c>
      <c r="G589" s="6" t="s">
        <v>577</v>
      </c>
      <c r="H589" s="6" t="s">
        <v>977</v>
      </c>
      <c r="I589" s="6" t="s">
        <v>20</v>
      </c>
      <c r="J589" s="29">
        <f>0.502*2</f>
        <v>1.004</v>
      </c>
      <c r="K589" s="8">
        <f t="shared" si="127"/>
        <v>1.7337128090005314E-3</v>
      </c>
      <c r="L589" s="8">
        <f t="shared" si="128"/>
        <v>4.6091622072576293</v>
      </c>
      <c r="M589" s="8"/>
      <c r="N589" s="8"/>
      <c r="O589" s="8"/>
      <c r="P589" s="8"/>
      <c r="Q589" s="8"/>
      <c r="R589" s="8"/>
      <c r="S589" s="8">
        <v>0.13100000000000001</v>
      </c>
      <c r="T589" s="8">
        <f>0.15+0.451+0.338+0.086</f>
        <v>1.0250000000000001</v>
      </c>
      <c r="U589" s="8"/>
      <c r="V589" s="8"/>
      <c r="W589" s="8"/>
      <c r="X589" s="8">
        <f>T589/S589</f>
        <v>7.8244274809160315</v>
      </c>
      <c r="Y589" s="31">
        <f t="shared" si="129"/>
        <v>-0.89345256973600895</v>
      </c>
      <c r="Z589" s="31" t="str">
        <f t="shared" si="130"/>
        <v/>
      </c>
      <c r="AA589" s="31">
        <f t="shared" si="131"/>
        <v>-0.89345256973600895</v>
      </c>
    </row>
    <row r="590" spans="1:27" x14ac:dyDescent="0.25">
      <c r="A590" s="6" t="str">
        <f t="shared" si="125"/>
        <v>fragment</v>
      </c>
      <c r="B590" s="6" t="s">
        <v>568</v>
      </c>
      <c r="C590" s="6" t="str">
        <f t="shared" si="126"/>
        <v>HC224 2203</v>
      </c>
      <c r="D590" s="6" t="s">
        <v>567</v>
      </c>
      <c r="E590" s="20">
        <v>2203</v>
      </c>
      <c r="F590" s="6" t="s">
        <v>561</v>
      </c>
      <c r="G590" s="6" t="s">
        <v>578</v>
      </c>
      <c r="H590" s="6" t="s">
        <v>977</v>
      </c>
      <c r="I590" s="6" t="s">
        <v>20</v>
      </c>
      <c r="J590" s="29"/>
      <c r="K590" s="8" t="str">
        <f t="shared" si="127"/>
        <v/>
      </c>
      <c r="L590" s="8" t="str">
        <f t="shared" si="128"/>
        <v/>
      </c>
      <c r="M590" s="8"/>
      <c r="N590" s="8"/>
      <c r="O590" s="8">
        <v>1.238</v>
      </c>
      <c r="P590" s="8">
        <f>0.666+1.585+0.406</f>
        <v>2.657</v>
      </c>
      <c r="Q590" s="8"/>
      <c r="R590" s="8"/>
      <c r="S590" s="8"/>
      <c r="T590" s="8"/>
      <c r="U590" s="8"/>
      <c r="V590" s="8">
        <f>P590/O590</f>
        <v>2.1462035541195479</v>
      </c>
      <c r="W590" s="8"/>
      <c r="X590" s="8"/>
      <c r="Y590" s="31">
        <f t="shared" si="129"/>
        <v>-0.33167090972617841</v>
      </c>
      <c r="Z590" s="31">
        <f t="shared" si="130"/>
        <v>-0.33167090972617841</v>
      </c>
      <c r="AA590" s="31" t="str">
        <f t="shared" si="131"/>
        <v/>
      </c>
    </row>
    <row r="591" spans="1:27" x14ac:dyDescent="0.25">
      <c r="A591" s="6" t="str">
        <f t="shared" si="125"/>
        <v>complete</v>
      </c>
      <c r="B591" s="6" t="s">
        <v>568</v>
      </c>
      <c r="C591" s="6" t="str">
        <f t="shared" si="126"/>
        <v>HC224 2203</v>
      </c>
      <c r="D591" s="6" t="s">
        <v>567</v>
      </c>
      <c r="E591" s="20">
        <v>2203</v>
      </c>
      <c r="F591" s="6" t="s">
        <v>561</v>
      </c>
      <c r="G591" s="6" t="s">
        <v>579</v>
      </c>
      <c r="H591" s="6" t="s">
        <v>977</v>
      </c>
      <c r="I591" s="6" t="s">
        <v>20</v>
      </c>
      <c r="J591" s="29">
        <f>2.638*2</f>
        <v>5.2759999999999998</v>
      </c>
      <c r="K591" s="8">
        <f t="shared" si="127"/>
        <v>0.72230478687432764</v>
      </c>
      <c r="L591" s="8">
        <f t="shared" si="128"/>
        <v>6.2683384208431594</v>
      </c>
      <c r="M591" s="8"/>
      <c r="N591" s="8"/>
      <c r="O591" s="8">
        <v>0.98499999999999999</v>
      </c>
      <c r="P591" s="8">
        <f>0.543+1.539+0.155+0.464+0.432+0.131</f>
        <v>3.2639999999999993</v>
      </c>
      <c r="Q591" s="8"/>
      <c r="R591" s="8"/>
      <c r="S591" s="8"/>
      <c r="T591" s="8"/>
      <c r="U591" s="8"/>
      <c r="V591" s="8">
        <f>P591/O591</f>
        <v>3.3137055837563447</v>
      </c>
      <c r="W591" s="8"/>
      <c r="X591" s="8"/>
      <c r="Y591" s="31">
        <f t="shared" si="129"/>
        <v>-0.5203139195842118</v>
      </c>
      <c r="Z591" s="31" t="str">
        <f t="shared" si="130"/>
        <v/>
      </c>
      <c r="AA591" s="31">
        <f t="shared" si="131"/>
        <v>-0.5203139195842118</v>
      </c>
    </row>
    <row r="592" spans="1:27" x14ac:dyDescent="0.25">
      <c r="A592" s="6" t="str">
        <f t="shared" si="125"/>
        <v>complete</v>
      </c>
      <c r="B592" s="6" t="s">
        <v>568</v>
      </c>
      <c r="C592" s="6" t="str">
        <f t="shared" si="126"/>
        <v>HC224 2203</v>
      </c>
      <c r="D592" s="6" t="s">
        <v>567</v>
      </c>
      <c r="E592" s="20">
        <v>2203</v>
      </c>
      <c r="F592" s="6" t="s">
        <v>561</v>
      </c>
      <c r="G592" s="6" t="s">
        <v>580</v>
      </c>
      <c r="H592" s="6" t="s">
        <v>977</v>
      </c>
      <c r="I592" s="6" t="s">
        <v>20</v>
      </c>
      <c r="J592" s="29">
        <f>2.192*2</f>
        <v>4.3840000000000003</v>
      </c>
      <c r="K592" s="8">
        <f t="shared" si="127"/>
        <v>0.64187054547631273</v>
      </c>
      <c r="L592" s="8">
        <f t="shared" si="128"/>
        <v>6.0831317356338062</v>
      </c>
      <c r="M592" s="8"/>
      <c r="N592" s="8"/>
      <c r="O592" s="8">
        <v>0.755</v>
      </c>
      <c r="P592" s="8">
        <f>1.436+0.344+0.704</f>
        <v>2.484</v>
      </c>
      <c r="Q592" s="8"/>
      <c r="R592" s="8"/>
      <c r="S592" s="8"/>
      <c r="T592" s="8"/>
      <c r="U592" s="8"/>
      <c r="V592" s="8">
        <f>P592/O592</f>
        <v>3.290066225165563</v>
      </c>
      <c r="W592" s="8"/>
      <c r="X592" s="8"/>
      <c r="Y592" s="31">
        <f t="shared" si="129"/>
        <v>-0.51720463987535437</v>
      </c>
      <c r="Z592" s="31" t="str">
        <f t="shared" si="130"/>
        <v/>
      </c>
      <c r="AA592" s="31">
        <f t="shared" si="131"/>
        <v>-0.51720463987535437</v>
      </c>
    </row>
    <row r="593" spans="1:27" x14ac:dyDescent="0.25">
      <c r="A593" s="6" t="str">
        <f t="shared" si="125"/>
        <v>complete</v>
      </c>
      <c r="B593" s="6" t="s">
        <v>581</v>
      </c>
      <c r="C593" s="6" t="str">
        <f t="shared" si="126"/>
        <v>HC224 2203</v>
      </c>
      <c r="D593" s="6" t="s">
        <v>567</v>
      </c>
      <c r="E593" s="20">
        <v>2203</v>
      </c>
      <c r="F593" s="6" t="s">
        <v>561</v>
      </c>
      <c r="G593" s="6" t="s">
        <v>582</v>
      </c>
      <c r="H593" s="6" t="s">
        <v>977</v>
      </c>
      <c r="I593" s="6" t="s">
        <v>20</v>
      </c>
      <c r="J593" s="29">
        <v>1.6824300000000001</v>
      </c>
      <c r="K593" s="8">
        <f t="shared" si="127"/>
        <v>0.22593700380468859</v>
      </c>
      <c r="L593" s="8">
        <f t="shared" si="128"/>
        <v>5.1254093629045059</v>
      </c>
      <c r="M593" s="8"/>
      <c r="N593" s="8"/>
      <c r="O593" s="8"/>
      <c r="P593" s="8"/>
      <c r="Q593" s="8"/>
      <c r="R593" s="8"/>
      <c r="S593" s="8">
        <v>0.96199999999999997</v>
      </c>
      <c r="T593" s="8">
        <f>0.337+1.368+0.693</f>
        <v>2.3980000000000001</v>
      </c>
      <c r="U593" s="8"/>
      <c r="V593" s="8"/>
      <c r="W593" s="8"/>
      <c r="X593" s="8">
        <f>T593/S593</f>
        <v>2.4927234927234929</v>
      </c>
      <c r="Y593" s="31">
        <f t="shared" si="129"/>
        <v>-0.39667410672501691</v>
      </c>
      <c r="Z593" s="31" t="str">
        <f t="shared" si="130"/>
        <v/>
      </c>
      <c r="AA593" s="31">
        <f t="shared" si="131"/>
        <v>-0.39667410672501691</v>
      </c>
    </row>
    <row r="594" spans="1:27" x14ac:dyDescent="0.25">
      <c r="A594" s="6" t="str">
        <f t="shared" si="125"/>
        <v>complete</v>
      </c>
      <c r="B594" s="6" t="s">
        <v>584</v>
      </c>
      <c r="C594" s="6" t="str">
        <f t="shared" si="126"/>
        <v>HC229 2203</v>
      </c>
      <c r="D594" s="6" t="s">
        <v>583</v>
      </c>
      <c r="E594" s="20">
        <v>2203</v>
      </c>
      <c r="F594" s="6" t="s">
        <v>561</v>
      </c>
      <c r="G594" s="6" t="s">
        <v>585</v>
      </c>
      <c r="H594" s="6" t="s">
        <v>977</v>
      </c>
      <c r="I594" s="6" t="s">
        <v>5</v>
      </c>
      <c r="J594" s="29">
        <v>7.7690000000000001</v>
      </c>
      <c r="K594" s="8">
        <f t="shared" si="127"/>
        <v>0.89036512144812419</v>
      </c>
      <c r="L594" s="8">
        <f t="shared" si="128"/>
        <v>6.6553116419563754</v>
      </c>
      <c r="M594" s="8"/>
      <c r="N594" s="8"/>
      <c r="O594" s="8"/>
      <c r="P594" s="8"/>
      <c r="Q594" s="8"/>
      <c r="R594" s="8"/>
      <c r="S594" s="8">
        <v>1</v>
      </c>
      <c r="T594" s="8">
        <f>0.916+0.753</f>
        <v>1.669</v>
      </c>
      <c r="U594" s="8"/>
      <c r="V594" s="8"/>
      <c r="W594" s="8"/>
      <c r="X594" s="8">
        <f>T594/S594</f>
        <v>1.669</v>
      </c>
      <c r="Y594" s="31">
        <f t="shared" si="129"/>
        <v>-0.22245633667924669</v>
      </c>
      <c r="Z594" s="31" t="str">
        <f t="shared" si="130"/>
        <v/>
      </c>
      <c r="AA594" s="31">
        <f t="shared" si="131"/>
        <v>-0.22245633667924669</v>
      </c>
    </row>
    <row r="595" spans="1:27" x14ac:dyDescent="0.25">
      <c r="A595" s="6" t="str">
        <f t="shared" si="125"/>
        <v>complete</v>
      </c>
      <c r="B595" s="6" t="s">
        <v>584</v>
      </c>
      <c r="C595" s="6" t="str">
        <f t="shared" si="126"/>
        <v>HC229 2203</v>
      </c>
      <c r="D595" s="6" t="s">
        <v>583</v>
      </c>
      <c r="E595" s="20">
        <v>2203</v>
      </c>
      <c r="F595" s="6" t="s">
        <v>561</v>
      </c>
      <c r="G595" s="6" t="s">
        <v>588</v>
      </c>
      <c r="H595" s="6" t="s">
        <v>977</v>
      </c>
      <c r="I595" s="6" t="s">
        <v>5</v>
      </c>
      <c r="J595" s="29">
        <f>3.66*2</f>
        <v>7.32</v>
      </c>
      <c r="K595" s="8">
        <f t="shared" si="127"/>
        <v>0.86451108105839192</v>
      </c>
      <c r="L595" s="8">
        <f t="shared" si="128"/>
        <v>6.5957805139613113</v>
      </c>
      <c r="M595" s="8"/>
      <c r="N595" s="8"/>
      <c r="O595" s="8">
        <v>0.57599999999999996</v>
      </c>
      <c r="P595" s="8">
        <f>0.517+0.508+0.271</f>
        <v>1.2959999999999998</v>
      </c>
      <c r="Q595" s="8">
        <v>0.94299999999999995</v>
      </c>
      <c r="R595" s="8">
        <f>0.908+0.439+0.49</f>
        <v>1.837</v>
      </c>
      <c r="S595" s="8"/>
      <c r="T595" s="8"/>
      <c r="U595" s="8"/>
      <c r="V595" s="8">
        <f>P595/O595</f>
        <v>2.25</v>
      </c>
      <c r="W595" s="8">
        <f>R595/Q595</f>
        <v>1.9480381760339343</v>
      </c>
      <c r="X595" s="8"/>
      <c r="Y595" s="31">
        <f t="shared" si="129"/>
        <v>-0.32201638797865884</v>
      </c>
      <c r="Z595" s="31" t="str">
        <f t="shared" si="130"/>
        <v/>
      </c>
      <c r="AA595" s="31">
        <f t="shared" si="131"/>
        <v>-0.32201638797865884</v>
      </c>
    </row>
    <row r="596" spans="1:27" x14ac:dyDescent="0.25">
      <c r="A596" s="6" t="str">
        <f t="shared" si="125"/>
        <v>complete</v>
      </c>
      <c r="B596" s="6" t="s">
        <v>584</v>
      </c>
      <c r="C596" s="6" t="str">
        <f t="shared" si="126"/>
        <v>HC229 2203</v>
      </c>
      <c r="D596" s="6" t="s">
        <v>583</v>
      </c>
      <c r="E596" s="20">
        <v>2203</v>
      </c>
      <c r="F596" s="6" t="s">
        <v>561</v>
      </c>
      <c r="G596" s="6" t="s">
        <v>589</v>
      </c>
      <c r="H596" s="6" t="s">
        <v>977</v>
      </c>
      <c r="I596" s="6" t="s">
        <v>5</v>
      </c>
      <c r="J596" s="29">
        <f>3.222*2</f>
        <v>6.444</v>
      </c>
      <c r="K596" s="8">
        <f t="shared" si="127"/>
        <v>0.80915553174718047</v>
      </c>
      <c r="L596" s="8">
        <f t="shared" si="128"/>
        <v>6.4683196513028189</v>
      </c>
      <c r="M596" s="8"/>
      <c r="N596" s="8"/>
      <c r="O596" s="8">
        <v>0.52900000000000003</v>
      </c>
      <c r="P596" s="8">
        <f>0.591+0.408</f>
        <v>0.99899999999999989</v>
      </c>
      <c r="Q596" s="8"/>
      <c r="R596" s="8"/>
      <c r="S596" s="8"/>
      <c r="T596" s="8"/>
      <c r="U596" s="8"/>
      <c r="V596" s="8">
        <f>P596/O596</f>
        <v>1.8884688090737236</v>
      </c>
      <c r="W596" s="8"/>
      <c r="X596" s="8"/>
      <c r="Y596" s="31">
        <f t="shared" si="129"/>
        <v>-0.27610981619079639</v>
      </c>
      <c r="Z596" s="31" t="str">
        <f t="shared" si="130"/>
        <v/>
      </c>
      <c r="AA596" s="31">
        <f t="shared" si="131"/>
        <v>-0.27610981619079639</v>
      </c>
    </row>
    <row r="597" spans="1:27" x14ac:dyDescent="0.25">
      <c r="A597" s="6" t="str">
        <f t="shared" si="125"/>
        <v>fragment</v>
      </c>
      <c r="B597" s="6" t="s">
        <v>584</v>
      </c>
      <c r="C597" s="6" t="str">
        <f t="shared" si="126"/>
        <v>HC229 2203</v>
      </c>
      <c r="D597" s="6" t="s">
        <v>583</v>
      </c>
      <c r="E597" s="20">
        <v>2203</v>
      </c>
      <c r="F597" s="6" t="s">
        <v>561</v>
      </c>
      <c r="G597" s="6" t="s">
        <v>590</v>
      </c>
      <c r="H597" s="6" t="s">
        <v>977</v>
      </c>
      <c r="I597" s="6" t="s">
        <v>5</v>
      </c>
      <c r="J597" s="29"/>
      <c r="K597" s="8" t="str">
        <f t="shared" si="127"/>
        <v/>
      </c>
      <c r="L597" s="8" t="str">
        <f t="shared" si="128"/>
        <v/>
      </c>
      <c r="M597" s="8"/>
      <c r="N597" s="8"/>
      <c r="O597" s="8"/>
      <c r="P597" s="8"/>
      <c r="Q597" s="8"/>
      <c r="R597" s="8"/>
      <c r="S597" s="8">
        <v>1.0309999999999999</v>
      </c>
      <c r="T597" s="8">
        <f>0.929+1.208</f>
        <v>2.137</v>
      </c>
      <c r="U597" s="8"/>
      <c r="V597" s="8"/>
      <c r="W597" s="8"/>
      <c r="X597" s="8">
        <f>T597/S597</f>
        <v>2.0727449078564502</v>
      </c>
      <c r="Y597" s="31">
        <f t="shared" si="129"/>
        <v>-0.31654585688055287</v>
      </c>
      <c r="Z597" s="31">
        <f t="shared" si="130"/>
        <v>-0.31654585688055287</v>
      </c>
      <c r="AA597" s="31" t="str">
        <f t="shared" si="131"/>
        <v/>
      </c>
    </row>
    <row r="598" spans="1:27" x14ac:dyDescent="0.25">
      <c r="A598" s="6" t="str">
        <f t="shared" si="125"/>
        <v>fragment</v>
      </c>
      <c r="B598" s="6" t="s">
        <v>584</v>
      </c>
      <c r="C598" s="6" t="str">
        <f t="shared" si="126"/>
        <v>HC229 2203</v>
      </c>
      <c r="D598" s="6" t="s">
        <v>583</v>
      </c>
      <c r="E598" s="20">
        <v>2203</v>
      </c>
      <c r="F598" s="6" t="s">
        <v>561</v>
      </c>
      <c r="G598" s="6" t="s">
        <v>591</v>
      </c>
      <c r="H598" s="6" t="s">
        <v>977</v>
      </c>
      <c r="I598" s="6" t="s">
        <v>5</v>
      </c>
      <c r="J598" s="29"/>
      <c r="K598" s="8" t="str">
        <f t="shared" si="127"/>
        <v/>
      </c>
      <c r="L598" s="8" t="str">
        <f t="shared" si="128"/>
        <v/>
      </c>
      <c r="M598" s="8"/>
      <c r="N598" s="8"/>
      <c r="O598" s="8">
        <v>0.1</v>
      </c>
      <c r="P598" s="8">
        <f>0.34+0.201</f>
        <v>0.54100000000000004</v>
      </c>
      <c r="Q598" s="8"/>
      <c r="R598" s="8"/>
      <c r="S598" s="8">
        <v>0.158</v>
      </c>
      <c r="T598" s="8">
        <f>0.194+0.293+0.248</f>
        <v>0.73499999999999999</v>
      </c>
      <c r="U598" s="8"/>
      <c r="V598" s="8">
        <f>P598/O598</f>
        <v>5.41</v>
      </c>
      <c r="W598" s="8"/>
      <c r="X598" s="8">
        <f>T598/S598</f>
        <v>4.6518987341772151</v>
      </c>
      <c r="Y598" s="31">
        <f t="shared" si="129"/>
        <v>-0.70164994648403189</v>
      </c>
      <c r="Z598" s="31">
        <f t="shared" si="130"/>
        <v>-0.70164994648403189</v>
      </c>
      <c r="AA598" s="31" t="str">
        <f t="shared" si="131"/>
        <v/>
      </c>
    </row>
    <row r="599" spans="1:27" x14ac:dyDescent="0.25">
      <c r="A599" s="6" t="str">
        <f t="shared" si="125"/>
        <v>complete</v>
      </c>
      <c r="B599" s="6" t="s">
        <v>584</v>
      </c>
      <c r="C599" s="6" t="str">
        <f t="shared" si="126"/>
        <v>HC229 2203</v>
      </c>
      <c r="D599" s="6" t="s">
        <v>583</v>
      </c>
      <c r="E599" s="20">
        <v>2203</v>
      </c>
      <c r="F599" s="6" t="s">
        <v>561</v>
      </c>
      <c r="G599" s="6" t="s">
        <v>592</v>
      </c>
      <c r="H599" s="6" t="s">
        <v>977</v>
      </c>
      <c r="I599" s="6" t="s">
        <v>5</v>
      </c>
      <c r="J599" s="29">
        <f>2.247*2</f>
        <v>4.4939999999999998</v>
      </c>
      <c r="K599" s="8">
        <f t="shared" si="127"/>
        <v>0.65263306808311006</v>
      </c>
      <c r="L599" s="8">
        <f t="shared" si="128"/>
        <v>6.1079133597512287</v>
      </c>
      <c r="M599" s="8"/>
      <c r="N599" s="8"/>
      <c r="O599" s="8"/>
      <c r="P599" s="8"/>
      <c r="Q599" s="8">
        <v>0.747</v>
      </c>
      <c r="R599" s="8">
        <f>0.713+0.867</f>
        <v>1.58</v>
      </c>
      <c r="S599" s="8"/>
      <c r="T599" s="8"/>
      <c r="U599" s="8"/>
      <c r="V599" s="8"/>
      <c r="W599" s="8">
        <f>R599/Q599</f>
        <v>2.1151271753681393</v>
      </c>
      <c r="X599" s="8"/>
      <c r="Y599" s="31">
        <f t="shared" si="129"/>
        <v>-0.32533648513902386</v>
      </c>
      <c r="Z599" s="31" t="str">
        <f t="shared" si="130"/>
        <v/>
      </c>
      <c r="AA599" s="31">
        <f t="shared" si="131"/>
        <v>-0.32533648513902386</v>
      </c>
    </row>
    <row r="600" spans="1:27" x14ac:dyDescent="0.25">
      <c r="A600" s="6" t="str">
        <f t="shared" si="125"/>
        <v>fragment</v>
      </c>
      <c r="B600" s="6" t="s">
        <v>584</v>
      </c>
      <c r="C600" s="6" t="str">
        <f t="shared" si="126"/>
        <v>HC229 2203</v>
      </c>
      <c r="D600" s="6" t="s">
        <v>583</v>
      </c>
      <c r="E600" s="20">
        <v>2203</v>
      </c>
      <c r="F600" s="6" t="s">
        <v>561</v>
      </c>
      <c r="G600" s="6" t="s">
        <v>593</v>
      </c>
      <c r="H600" s="6" t="s">
        <v>977</v>
      </c>
      <c r="I600" s="6" t="s">
        <v>5</v>
      </c>
      <c r="J600" s="29"/>
      <c r="K600" s="8" t="str">
        <f t="shared" si="127"/>
        <v/>
      </c>
      <c r="L600" s="8" t="str">
        <f t="shared" si="128"/>
        <v/>
      </c>
      <c r="M600" s="8">
        <v>0.247</v>
      </c>
      <c r="N600" s="8">
        <f>0.378+0.454</f>
        <v>0.83200000000000007</v>
      </c>
      <c r="O600" s="8"/>
      <c r="P600" s="8"/>
      <c r="Q600" s="8"/>
      <c r="R600" s="8"/>
      <c r="S600" s="8"/>
      <c r="T600" s="8"/>
      <c r="U600" s="8">
        <f>N600/M600</f>
        <v>3.3684210526315792</v>
      </c>
      <c r="V600" s="8"/>
      <c r="W600" s="8"/>
      <c r="X600" s="8"/>
      <c r="Y600" s="31">
        <f t="shared" si="129"/>
        <v>-0.52742637303105822</v>
      </c>
      <c r="Z600" s="31">
        <f t="shared" si="130"/>
        <v>-0.52742637303105822</v>
      </c>
      <c r="AA600" s="31" t="str">
        <f t="shared" si="131"/>
        <v/>
      </c>
    </row>
    <row r="601" spans="1:27" x14ac:dyDescent="0.25">
      <c r="A601" s="6" t="str">
        <f t="shared" si="125"/>
        <v>complete</v>
      </c>
      <c r="B601" s="6" t="s">
        <v>584</v>
      </c>
      <c r="C601" s="6" t="str">
        <f t="shared" si="126"/>
        <v>HC229 2203</v>
      </c>
      <c r="D601" s="6" t="s">
        <v>583</v>
      </c>
      <c r="E601" s="20">
        <v>2203</v>
      </c>
      <c r="F601" s="6" t="s">
        <v>561</v>
      </c>
      <c r="G601" s="6" t="s">
        <v>594</v>
      </c>
      <c r="H601" s="6" t="s">
        <v>977</v>
      </c>
      <c r="I601" s="6" t="s">
        <v>5</v>
      </c>
      <c r="J601" s="29">
        <v>5.7149999999999999</v>
      </c>
      <c r="K601" s="8">
        <f t="shared" si="127"/>
        <v>0.75701623473130053</v>
      </c>
      <c r="L601" s="8">
        <f t="shared" si="128"/>
        <v>6.3482644832348649</v>
      </c>
      <c r="M601" s="8"/>
      <c r="N601" s="8"/>
      <c r="O601" s="8"/>
      <c r="P601" s="8"/>
      <c r="Q601" s="8"/>
      <c r="R601" s="8"/>
      <c r="S601" s="8">
        <v>0.75800000000000001</v>
      </c>
      <c r="T601" s="8">
        <f>0.566+0.638</f>
        <v>1.204</v>
      </c>
      <c r="U601" s="8"/>
      <c r="V601" s="8"/>
      <c r="W601" s="8"/>
      <c r="X601" s="8">
        <f>T601/S601</f>
        <v>1.5883905013192612</v>
      </c>
      <c r="Y601" s="31">
        <f t="shared" si="129"/>
        <v>-0.20095728128975224</v>
      </c>
      <c r="Z601" s="31" t="str">
        <f t="shared" si="130"/>
        <v/>
      </c>
      <c r="AA601" s="31">
        <f t="shared" si="131"/>
        <v>-0.20095728128975224</v>
      </c>
    </row>
    <row r="602" spans="1:27" x14ac:dyDescent="0.25">
      <c r="A602" s="6" t="str">
        <f t="shared" si="125"/>
        <v>complete</v>
      </c>
      <c r="B602" s="6" t="s">
        <v>584</v>
      </c>
      <c r="C602" s="6" t="str">
        <f t="shared" si="126"/>
        <v>HC229 2203</v>
      </c>
      <c r="D602" s="6" t="s">
        <v>583</v>
      </c>
      <c r="E602" s="20">
        <v>2203</v>
      </c>
      <c r="F602" s="6" t="s">
        <v>561</v>
      </c>
      <c r="G602" s="6" t="s">
        <v>595</v>
      </c>
      <c r="H602" s="6" t="s">
        <v>977</v>
      </c>
      <c r="I602" s="6" t="s">
        <v>5</v>
      </c>
      <c r="J602" s="29">
        <v>5.8630000000000004</v>
      </c>
      <c r="K602" s="8">
        <f t="shared" si="127"/>
        <v>0.76811989418479731</v>
      </c>
      <c r="L602" s="8">
        <f t="shared" si="128"/>
        <v>6.3738316039701699</v>
      </c>
      <c r="M602" s="8"/>
      <c r="N602" s="8"/>
      <c r="O602" s="8"/>
      <c r="P602" s="8"/>
      <c r="Q602" s="8"/>
      <c r="R602" s="8"/>
      <c r="S602" s="8">
        <v>0.84499999999999997</v>
      </c>
      <c r="T602" s="8">
        <f>0.778+0.828</f>
        <v>1.6059999999999999</v>
      </c>
      <c r="U602" s="8"/>
      <c r="V602" s="8"/>
      <c r="W602" s="8"/>
      <c r="X602" s="8">
        <f>T602/S602</f>
        <v>1.9005917159763313</v>
      </c>
      <c r="Y602" s="31">
        <f t="shared" si="129"/>
        <v>-0.27888883199296982</v>
      </c>
      <c r="Z602" s="31" t="str">
        <f t="shared" si="130"/>
        <v/>
      </c>
      <c r="AA602" s="31">
        <f t="shared" si="131"/>
        <v>-0.27888883199296982</v>
      </c>
    </row>
    <row r="603" spans="1:27" x14ac:dyDescent="0.25">
      <c r="A603" s="6" t="str">
        <f t="shared" si="125"/>
        <v>complete</v>
      </c>
      <c r="B603" s="6" t="s">
        <v>584</v>
      </c>
      <c r="C603" s="6" t="str">
        <f t="shared" si="126"/>
        <v>HC229 2203</v>
      </c>
      <c r="D603" s="6" t="s">
        <v>583</v>
      </c>
      <c r="E603" s="20">
        <v>2203</v>
      </c>
      <c r="F603" s="6" t="s">
        <v>561</v>
      </c>
      <c r="G603" s="6" t="s">
        <v>596</v>
      </c>
      <c r="H603" s="6" t="s">
        <v>977</v>
      </c>
      <c r="I603" s="6" t="s">
        <v>5</v>
      </c>
      <c r="J603" s="29">
        <v>6.4610000000000003</v>
      </c>
      <c r="K603" s="8">
        <f t="shared" si="127"/>
        <v>0.81029974104016889</v>
      </c>
      <c r="L603" s="8">
        <f t="shared" si="128"/>
        <v>6.4709542905641202</v>
      </c>
      <c r="M603" s="8"/>
      <c r="N603" s="8"/>
      <c r="O603" s="8"/>
      <c r="P603" s="8"/>
      <c r="Q603" s="8">
        <v>0.53900000000000003</v>
      </c>
      <c r="R603" s="8">
        <f>0.314+0.465+0.481</f>
        <v>1.26</v>
      </c>
      <c r="S603" s="8"/>
      <c r="T603" s="8"/>
      <c r="U603" s="8"/>
      <c r="V603" s="8"/>
      <c r="W603" s="8">
        <f>R603/Q603</f>
        <v>2.3376623376623376</v>
      </c>
      <c r="X603" s="8"/>
      <c r="Y603" s="31">
        <f t="shared" si="129"/>
        <v>-0.36878177993082417</v>
      </c>
      <c r="Z603" s="31" t="str">
        <f t="shared" si="130"/>
        <v/>
      </c>
      <c r="AA603" s="31">
        <f t="shared" si="131"/>
        <v>-0.36878177993082417</v>
      </c>
    </row>
    <row r="604" spans="1:27" x14ac:dyDescent="0.25">
      <c r="A604" s="6" t="str">
        <f t="shared" si="125"/>
        <v>fragment</v>
      </c>
      <c r="B604" s="6" t="s">
        <v>584</v>
      </c>
      <c r="C604" s="6" t="str">
        <f t="shared" si="126"/>
        <v>HC229 2203</v>
      </c>
      <c r="D604" s="6" t="s">
        <v>583</v>
      </c>
      <c r="E604" s="20">
        <v>2203</v>
      </c>
      <c r="F604" s="6" t="s">
        <v>561</v>
      </c>
      <c r="G604" s="6" t="s">
        <v>597</v>
      </c>
      <c r="H604" s="6" t="s">
        <v>977</v>
      </c>
      <c r="I604" s="6" t="s">
        <v>5</v>
      </c>
      <c r="J604" s="29"/>
      <c r="K604" s="8" t="str">
        <f t="shared" si="127"/>
        <v/>
      </c>
      <c r="L604" s="8" t="str">
        <f t="shared" si="128"/>
        <v/>
      </c>
      <c r="M604" s="8"/>
      <c r="N604" s="8"/>
      <c r="O604" s="8">
        <v>0.60899999999999999</v>
      </c>
      <c r="P604" s="8">
        <f>0.446+0.619+0.648+0.103</f>
        <v>1.8160000000000001</v>
      </c>
      <c r="Q604" s="8"/>
      <c r="R604" s="8"/>
      <c r="S604" s="8"/>
      <c r="T604" s="8"/>
      <c r="U604" s="8"/>
      <c r="V604" s="8">
        <f>P604/O604</f>
        <v>2.9819376026272582</v>
      </c>
      <c r="W604" s="8"/>
      <c r="X604" s="8"/>
      <c r="Y604" s="31">
        <f t="shared" si="129"/>
        <v>-0.47449855155219101</v>
      </c>
      <c r="Z604" s="31">
        <f t="shared" si="130"/>
        <v>-0.47449855155219101</v>
      </c>
      <c r="AA604" s="31" t="str">
        <f t="shared" si="131"/>
        <v/>
      </c>
    </row>
    <row r="605" spans="1:27" x14ac:dyDescent="0.25">
      <c r="A605" s="6" t="str">
        <f t="shared" si="125"/>
        <v>fragment</v>
      </c>
      <c r="B605" s="6" t="s">
        <v>584</v>
      </c>
      <c r="C605" s="6" t="str">
        <f t="shared" si="126"/>
        <v>HC229 2203</v>
      </c>
      <c r="D605" s="6" t="s">
        <v>583</v>
      </c>
      <c r="E605" s="20">
        <v>2203</v>
      </c>
      <c r="F605" s="6" t="s">
        <v>561</v>
      </c>
      <c r="G605" s="6" t="s">
        <v>598</v>
      </c>
      <c r="H605" s="6" t="s">
        <v>977</v>
      </c>
      <c r="I605" s="6" t="s">
        <v>5</v>
      </c>
      <c r="J605" s="29"/>
      <c r="K605" s="8" t="str">
        <f t="shared" si="127"/>
        <v/>
      </c>
      <c r="L605" s="8" t="str">
        <f t="shared" si="128"/>
        <v/>
      </c>
      <c r="M605" s="8"/>
      <c r="N605" s="8"/>
      <c r="O605" s="8"/>
      <c r="P605" s="8"/>
      <c r="Q605" s="8">
        <v>0.08</v>
      </c>
      <c r="R605" s="8">
        <f>0.162+0.192+0.111</f>
        <v>0.46499999999999997</v>
      </c>
      <c r="S605" s="8">
        <v>0.23200000000000001</v>
      </c>
      <c r="T605" s="8">
        <f>0.38+0.334</f>
        <v>0.71399999999999997</v>
      </c>
      <c r="U605" s="8"/>
      <c r="V605" s="8"/>
      <c r="W605" s="8">
        <f>R605/Q605</f>
        <v>5.8124999999999991</v>
      </c>
      <c r="X605" s="8">
        <f>T605/S605</f>
        <v>3.0775862068965516</v>
      </c>
      <c r="Y605" s="31">
        <f t="shared" si="129"/>
        <v>-0.64787597666708174</v>
      </c>
      <c r="Z605" s="31">
        <f t="shared" si="130"/>
        <v>-0.64787597666708174</v>
      </c>
      <c r="AA605" s="31" t="str">
        <f t="shared" si="131"/>
        <v/>
      </c>
    </row>
    <row r="606" spans="1:27" x14ac:dyDescent="0.25">
      <c r="A606" s="6" t="str">
        <f t="shared" si="125"/>
        <v>fragment</v>
      </c>
      <c r="B606" s="6" t="s">
        <v>584</v>
      </c>
      <c r="C606" s="6" t="str">
        <f t="shared" si="126"/>
        <v>HC229 2203</v>
      </c>
      <c r="D606" s="6" t="s">
        <v>583</v>
      </c>
      <c r="E606" s="20">
        <v>2203</v>
      </c>
      <c r="F606" s="6" t="s">
        <v>561</v>
      </c>
      <c r="G606" s="6" t="s">
        <v>599</v>
      </c>
      <c r="H606" s="6" t="s">
        <v>977</v>
      </c>
      <c r="I606" s="6" t="s">
        <v>5</v>
      </c>
      <c r="J606" s="29"/>
      <c r="K606" s="8" t="str">
        <f t="shared" si="127"/>
        <v/>
      </c>
      <c r="L606" s="8" t="str">
        <f t="shared" si="128"/>
        <v/>
      </c>
      <c r="M606" s="8"/>
      <c r="N606" s="8"/>
      <c r="O606" s="8">
        <v>0.313</v>
      </c>
      <c r="P606" s="8">
        <f>0.34+0.304+0.309</f>
        <v>0.95300000000000007</v>
      </c>
      <c r="Q606" s="8">
        <v>0.40799999999999997</v>
      </c>
      <c r="R606" s="8">
        <f>0.36+0.282+0.395+0.18+0.389</f>
        <v>1.6059999999999999</v>
      </c>
      <c r="S606" s="8"/>
      <c r="T606" s="8"/>
      <c r="U606" s="8"/>
      <c r="V606" s="8">
        <f>P606/O606</f>
        <v>3.0447284345047927</v>
      </c>
      <c r="W606" s="8">
        <f>R606/Q606</f>
        <v>3.9362745098039214</v>
      </c>
      <c r="X606" s="8"/>
      <c r="Y606" s="31">
        <f t="shared" si="129"/>
        <v>-0.54288782551054726</v>
      </c>
      <c r="Z606" s="31">
        <f t="shared" si="130"/>
        <v>-0.54288782551054726</v>
      </c>
      <c r="AA606" s="31" t="str">
        <f t="shared" si="131"/>
        <v/>
      </c>
    </row>
    <row r="607" spans="1:27" x14ac:dyDescent="0.25">
      <c r="A607" s="6" t="str">
        <f t="shared" si="125"/>
        <v>complete</v>
      </c>
      <c r="B607" s="6" t="s">
        <v>584</v>
      </c>
      <c r="C607" s="6" t="str">
        <f t="shared" si="126"/>
        <v>HC229 2203</v>
      </c>
      <c r="D607" s="6" t="s">
        <v>583</v>
      </c>
      <c r="E607" s="20">
        <v>2203</v>
      </c>
      <c r="F607" s="6" t="s">
        <v>561</v>
      </c>
      <c r="G607" s="6" t="s">
        <v>586</v>
      </c>
      <c r="H607" s="6" t="s">
        <v>977</v>
      </c>
      <c r="I607" s="6" t="s">
        <v>5</v>
      </c>
      <c r="J607" s="29">
        <v>2.7562800000000003</v>
      </c>
      <c r="K607" s="8">
        <f t="shared" si="127"/>
        <v>0.44032333380095773</v>
      </c>
      <c r="L607" s="8">
        <f t="shared" si="128"/>
        <v>5.6190521304956178</v>
      </c>
      <c r="M607" s="8"/>
      <c r="N607" s="8"/>
      <c r="O607" s="8">
        <v>0.40699999999999997</v>
      </c>
      <c r="P607" s="8">
        <f>1.009+0.474</f>
        <v>1.4829999999999999</v>
      </c>
      <c r="Q607" s="8"/>
      <c r="R607" s="8"/>
      <c r="S607" s="8"/>
      <c r="T607" s="8"/>
      <c r="U607" s="8"/>
      <c r="V607" s="8">
        <f>P607/O607</f>
        <v>3.6437346437346436</v>
      </c>
      <c r="W607" s="8"/>
      <c r="X607" s="8"/>
      <c r="Y607" s="31">
        <f t="shared" si="129"/>
        <v>-0.561546741803162</v>
      </c>
      <c r="Z607" s="31" t="str">
        <f t="shared" si="130"/>
        <v/>
      </c>
      <c r="AA607" s="31">
        <f t="shared" si="131"/>
        <v>-0.561546741803162</v>
      </c>
    </row>
    <row r="608" spans="1:27" x14ac:dyDescent="0.25">
      <c r="A608" s="6" t="str">
        <f t="shared" si="125"/>
        <v>complete</v>
      </c>
      <c r="B608" s="6" t="s">
        <v>584</v>
      </c>
      <c r="C608" s="6" t="str">
        <f t="shared" si="126"/>
        <v>HC229 2203</v>
      </c>
      <c r="D608" s="6" t="s">
        <v>583</v>
      </c>
      <c r="E608" s="20">
        <v>2203</v>
      </c>
      <c r="F608" s="6" t="s">
        <v>561</v>
      </c>
      <c r="G608" s="6" t="s">
        <v>587</v>
      </c>
      <c r="H608" s="6" t="s">
        <v>977</v>
      </c>
      <c r="I608" s="6" t="s">
        <v>5</v>
      </c>
      <c r="J608" s="29">
        <v>5.6451599999999997</v>
      </c>
      <c r="K608" s="8">
        <f t="shared" si="127"/>
        <v>0.75167625558470019</v>
      </c>
      <c r="L608" s="8">
        <f t="shared" si="128"/>
        <v>6.335968726855004</v>
      </c>
      <c r="M608" s="8"/>
      <c r="N608" s="8"/>
      <c r="O608" s="8">
        <v>0.61499999999999999</v>
      </c>
      <c r="P608" s="8">
        <f>0.443+0.994+0.326</f>
        <v>1.7630000000000001</v>
      </c>
      <c r="Q608" s="8"/>
      <c r="R608" s="8"/>
      <c r="S608" s="8"/>
      <c r="T608" s="8"/>
      <c r="U608" s="8"/>
      <c r="V608" s="8">
        <f>P608/O608</f>
        <v>2.8666666666666667</v>
      </c>
      <c r="W608" s="8"/>
      <c r="X608" s="8"/>
      <c r="Y608" s="31">
        <f t="shared" si="129"/>
        <v>-0.45737719652390529</v>
      </c>
      <c r="Z608" s="31" t="str">
        <f t="shared" si="130"/>
        <v/>
      </c>
      <c r="AA608" s="31">
        <f t="shared" si="131"/>
        <v>-0.45737719652390529</v>
      </c>
    </row>
    <row r="609" spans="1:27" x14ac:dyDescent="0.25">
      <c r="A609" s="6" t="str">
        <f t="shared" si="125"/>
        <v>complete</v>
      </c>
      <c r="B609" s="6" t="s">
        <v>584</v>
      </c>
      <c r="C609" s="6" t="str">
        <f t="shared" si="126"/>
        <v>HC229 2203</v>
      </c>
      <c r="D609" s="6" t="s">
        <v>583</v>
      </c>
      <c r="E609" s="20">
        <v>2203</v>
      </c>
      <c r="F609" s="6" t="s">
        <v>561</v>
      </c>
      <c r="G609" s="6" t="s">
        <v>600</v>
      </c>
      <c r="H609" s="6" t="s">
        <v>977</v>
      </c>
      <c r="I609" s="8" t="s">
        <v>5</v>
      </c>
      <c r="J609" s="29">
        <v>8.9654199999999999</v>
      </c>
      <c r="K609" s="8">
        <f t="shared" si="127"/>
        <v>0.95257063962155142</v>
      </c>
      <c r="L609" s="8">
        <f t="shared" si="128"/>
        <v>6.798545140804479</v>
      </c>
      <c r="M609" s="8"/>
      <c r="N609" s="8"/>
      <c r="O609" s="8">
        <v>2.6930000000000001</v>
      </c>
      <c r="P609" s="8">
        <f>0.791+0.895+0.597</f>
        <v>2.2829999999999999</v>
      </c>
      <c r="Q609" s="8"/>
      <c r="R609" s="8"/>
      <c r="S609" s="8">
        <v>3.444</v>
      </c>
      <c r="T609" s="8">
        <f>1.037+1.484</f>
        <v>2.5209999999999999</v>
      </c>
      <c r="U609" s="8"/>
      <c r="V609" s="8">
        <f>P609/O609</f>
        <v>0.84775343483104337</v>
      </c>
      <c r="W609" s="8"/>
      <c r="X609" s="8">
        <f>T609/S609</f>
        <v>0.73199767711962838</v>
      </c>
      <c r="Y609" s="31">
        <f t="shared" si="129"/>
        <v>0.10244132593789634</v>
      </c>
      <c r="Z609" s="31" t="str">
        <f t="shared" si="130"/>
        <v/>
      </c>
      <c r="AA609" s="31">
        <f t="shared" si="131"/>
        <v>0.10244132593789634</v>
      </c>
    </row>
    <row r="610" spans="1:27" x14ac:dyDescent="0.25">
      <c r="A610" s="6" t="str">
        <f t="shared" si="125"/>
        <v>complete</v>
      </c>
      <c r="C610" s="6" t="str">
        <f t="shared" si="126"/>
        <v>HC254 1489</v>
      </c>
      <c r="D610" s="6" t="s">
        <v>602</v>
      </c>
      <c r="E610" s="20">
        <v>1489</v>
      </c>
      <c r="F610" s="6" t="s">
        <v>90</v>
      </c>
      <c r="G610" s="6" t="s">
        <v>609</v>
      </c>
      <c r="H610" s="6" t="s">
        <v>977</v>
      </c>
      <c r="I610" s="6" t="s">
        <v>20</v>
      </c>
      <c r="J610" s="29">
        <v>23.278369999999999</v>
      </c>
      <c r="K610" s="8">
        <f t="shared" si="127"/>
        <v>1.3669525668374196</v>
      </c>
      <c r="L610" s="8">
        <f t="shared" si="128"/>
        <v>7.7526947892178804</v>
      </c>
      <c r="M610" s="8">
        <v>3.21</v>
      </c>
      <c r="N610" s="8">
        <f>0.908+1.825+1.836+0.717</f>
        <v>5.2859999999999996</v>
      </c>
      <c r="O610" s="8">
        <v>4.5730000000000004</v>
      </c>
      <c r="P610" s="8">
        <f>0.549+1.668+2.226+1.904+0.786</f>
        <v>7.1329999999999991</v>
      </c>
      <c r="Q610" s="8">
        <v>1.7130000000000001</v>
      </c>
      <c r="R610" s="8">
        <f>0.67+1.421+0.625</f>
        <v>2.7160000000000002</v>
      </c>
      <c r="S610" s="8"/>
      <c r="T610" s="8"/>
      <c r="U610" s="8">
        <f>N610/M610</f>
        <v>1.6467289719626168</v>
      </c>
      <c r="V610" s="8">
        <f>P610/O610</f>
        <v>1.559807566149136</v>
      </c>
      <c r="W610" s="8">
        <f>R610/Q610</f>
        <v>1.5855224751897257</v>
      </c>
      <c r="X610" s="8"/>
      <c r="Y610" s="31">
        <f t="shared" si="129"/>
        <v>-0.20340090294902599</v>
      </c>
      <c r="Z610" s="31" t="str">
        <f t="shared" si="130"/>
        <v/>
      </c>
      <c r="AA610" s="31">
        <f t="shared" si="131"/>
        <v>-0.20340090294902599</v>
      </c>
    </row>
    <row r="611" spans="1:27" x14ac:dyDescent="0.25">
      <c r="A611" s="6" t="str">
        <f t="shared" si="125"/>
        <v>complete</v>
      </c>
      <c r="C611" s="6" t="str">
        <f t="shared" si="126"/>
        <v>HC254 1489</v>
      </c>
      <c r="D611" s="6" t="s">
        <v>602</v>
      </c>
      <c r="E611" s="20">
        <v>1489</v>
      </c>
      <c r="F611" s="6" t="s">
        <v>90</v>
      </c>
      <c r="G611" s="6" t="s">
        <v>610</v>
      </c>
      <c r="H611" s="6" t="s">
        <v>977</v>
      </c>
      <c r="I611" s="6" t="s">
        <v>20</v>
      </c>
      <c r="J611" s="29">
        <v>19.219090000000001</v>
      </c>
      <c r="K611" s="8">
        <f t="shared" si="127"/>
        <v>1.2837328205159455</v>
      </c>
      <c r="L611" s="8">
        <f t="shared" si="128"/>
        <v>7.5610742418953087</v>
      </c>
      <c r="M611" s="8">
        <v>2.4950000000000001</v>
      </c>
      <c r="N611" s="8">
        <f>1.337+1.398</f>
        <v>2.7349999999999999</v>
      </c>
      <c r="O611" s="8"/>
      <c r="P611" s="8"/>
      <c r="Q611" s="8"/>
      <c r="R611" s="8"/>
      <c r="S611" s="8">
        <v>3.4</v>
      </c>
      <c r="T611" s="8">
        <f>0.842+1.622+1.225</f>
        <v>3.6890000000000001</v>
      </c>
      <c r="U611" s="8">
        <f>N611/M611</f>
        <v>1.096192384769539</v>
      </c>
      <c r="V611" s="8"/>
      <c r="W611" s="8"/>
      <c r="X611" s="8">
        <f>T611/S611</f>
        <v>1.085</v>
      </c>
      <c r="Y611" s="31">
        <f t="shared" si="129"/>
        <v>-3.7663977094456944E-2</v>
      </c>
      <c r="Z611" s="31" t="str">
        <f t="shared" si="130"/>
        <v/>
      </c>
      <c r="AA611" s="31">
        <f t="shared" si="131"/>
        <v>-3.7663977094456944E-2</v>
      </c>
    </row>
    <row r="612" spans="1:27" x14ac:dyDescent="0.25">
      <c r="A612" s="6" t="str">
        <f t="shared" si="125"/>
        <v>complete</v>
      </c>
      <c r="C612" s="6" t="str">
        <f t="shared" si="126"/>
        <v>HC254 1781</v>
      </c>
      <c r="D612" s="6" t="s">
        <v>602</v>
      </c>
      <c r="E612" s="20">
        <v>1781</v>
      </c>
      <c r="F612" s="6" t="s">
        <v>190</v>
      </c>
      <c r="G612" s="6" t="s">
        <v>604</v>
      </c>
      <c r="H612" s="6" t="s">
        <v>977</v>
      </c>
      <c r="I612" s="6" t="s">
        <v>20</v>
      </c>
      <c r="J612" s="29">
        <v>28.041</v>
      </c>
      <c r="K612" s="8">
        <f t="shared" si="127"/>
        <v>1.4477934974093818</v>
      </c>
      <c r="L612" s="8">
        <f t="shared" si="128"/>
        <v>7.9388379108566474</v>
      </c>
      <c r="M612" s="8"/>
      <c r="N612" s="8"/>
      <c r="O612" s="8">
        <v>3.9510000000000001</v>
      </c>
      <c r="P612" s="8">
        <f>0.764 + 2.282 + 1.597</f>
        <v>4.6430000000000007</v>
      </c>
      <c r="Q612" s="8"/>
      <c r="R612" s="8"/>
      <c r="S612" s="8">
        <v>5.4340000000000002</v>
      </c>
      <c r="T612" s="8">
        <f>0.987 + 2.66 + 2.585 + 1.286</f>
        <v>7.5180000000000007</v>
      </c>
      <c r="U612" s="8"/>
      <c r="V612" s="8">
        <f t="shared" ref="V612:V620" si="132">P612/O612</f>
        <v>1.1751455327765123</v>
      </c>
      <c r="W612" s="8"/>
      <c r="X612" s="8">
        <f>T612/S612</f>
        <v>1.3835112256164888</v>
      </c>
      <c r="Y612" s="31">
        <f t="shared" si="129"/>
        <v>-0.10698203389881975</v>
      </c>
      <c r="Z612" s="31" t="str">
        <f t="shared" si="130"/>
        <v/>
      </c>
      <c r="AA612" s="31">
        <f t="shared" si="131"/>
        <v>-0.10698203389881975</v>
      </c>
    </row>
    <row r="613" spans="1:27" x14ac:dyDescent="0.25">
      <c r="A613" s="6" t="str">
        <f t="shared" si="125"/>
        <v>complete</v>
      </c>
      <c r="C613" s="6" t="str">
        <f t="shared" si="126"/>
        <v>HC254 1781</v>
      </c>
      <c r="D613" s="6" t="s">
        <v>602</v>
      </c>
      <c r="E613" s="20">
        <v>1781</v>
      </c>
      <c r="F613" s="6" t="s">
        <v>190</v>
      </c>
      <c r="G613" s="6" t="s">
        <v>605</v>
      </c>
      <c r="H613" s="6" t="s">
        <v>977</v>
      </c>
      <c r="I613" s="6" t="s">
        <v>20</v>
      </c>
      <c r="J613" s="29">
        <v>13.05</v>
      </c>
      <c r="K613" s="8">
        <f t="shared" si="127"/>
        <v>1.1156105116742998</v>
      </c>
      <c r="L613" s="8">
        <f t="shared" si="128"/>
        <v>7.1739583197567942</v>
      </c>
      <c r="M613" s="8"/>
      <c r="N613" s="8"/>
      <c r="O613" s="8">
        <v>1.7450000000000001</v>
      </c>
      <c r="P613" s="8">
        <f>0.741+1.519+0.954</f>
        <v>3.2139999999999995</v>
      </c>
      <c r="Q613" s="8">
        <v>1.2290000000000001</v>
      </c>
      <c r="R613" s="8">
        <f>0.455+0.885+0.786</f>
        <v>2.1260000000000003</v>
      </c>
      <c r="S613" s="8"/>
      <c r="T613" s="8"/>
      <c r="U613" s="8"/>
      <c r="V613" s="8">
        <f t="shared" si="132"/>
        <v>1.8418338108882517</v>
      </c>
      <c r="W613" s="8">
        <f>R613/Q613</f>
        <v>1.7298616761594794</v>
      </c>
      <c r="X613" s="8"/>
      <c r="Y613" s="31">
        <f t="shared" si="129"/>
        <v>-0.25184442937552837</v>
      </c>
      <c r="Z613" s="31" t="str">
        <f t="shared" si="130"/>
        <v/>
      </c>
      <c r="AA613" s="31">
        <f t="shared" si="131"/>
        <v>-0.25184442937552837</v>
      </c>
    </row>
    <row r="614" spans="1:27" x14ac:dyDescent="0.25">
      <c r="A614" s="6" t="str">
        <f t="shared" si="125"/>
        <v>fragment</v>
      </c>
      <c r="C614" s="6" t="str">
        <f t="shared" si="126"/>
        <v>HC254 1781</v>
      </c>
      <c r="D614" s="6" t="s">
        <v>602</v>
      </c>
      <c r="E614" s="20">
        <v>1781</v>
      </c>
      <c r="F614" s="6" t="s">
        <v>190</v>
      </c>
      <c r="G614" s="6" t="s">
        <v>606</v>
      </c>
      <c r="H614" s="6" t="s">
        <v>977</v>
      </c>
      <c r="I614" s="6" t="s">
        <v>20</v>
      </c>
      <c r="J614" s="29"/>
      <c r="K614" s="8" t="str">
        <f t="shared" si="127"/>
        <v/>
      </c>
      <c r="L614" s="8" t="str">
        <f t="shared" si="128"/>
        <v/>
      </c>
      <c r="M614" s="8">
        <v>1.7210000000000001</v>
      </c>
      <c r="N614" s="8">
        <f>1.525+0.889</f>
        <v>2.4139999999999997</v>
      </c>
      <c r="O614" s="8">
        <v>1.694</v>
      </c>
      <c r="P614" s="8">
        <f>1.283+0.596</f>
        <v>1.879</v>
      </c>
      <c r="Q614" s="8"/>
      <c r="R614" s="8"/>
      <c r="S614" s="8">
        <v>2.637</v>
      </c>
      <c r="T614" s="8">
        <f>1.244+1.894</f>
        <v>3.1379999999999999</v>
      </c>
      <c r="U614" s="8">
        <f>N614/M614</f>
        <v>1.4026728646135964</v>
      </c>
      <c r="V614" s="8">
        <f t="shared" si="132"/>
        <v>1.1092089728453365</v>
      </c>
      <c r="W614" s="8"/>
      <c r="X614" s="8">
        <f>T614/S614</f>
        <v>1.1899886234357224</v>
      </c>
      <c r="Y614" s="31">
        <f t="shared" si="129"/>
        <v>-9.1299962748830926E-2</v>
      </c>
      <c r="Z614" s="31">
        <f t="shared" si="130"/>
        <v>-9.1299962748830926E-2</v>
      </c>
      <c r="AA614" s="31" t="str">
        <f t="shared" si="131"/>
        <v/>
      </c>
    </row>
    <row r="615" spans="1:27" x14ac:dyDescent="0.25">
      <c r="A615" s="6" t="str">
        <f t="shared" si="125"/>
        <v>fragment</v>
      </c>
      <c r="C615" s="6" t="str">
        <f t="shared" si="126"/>
        <v>HC254 1781</v>
      </c>
      <c r="D615" s="6" t="s">
        <v>602</v>
      </c>
      <c r="E615" s="20">
        <v>1781</v>
      </c>
      <c r="F615" s="6" t="s">
        <v>190</v>
      </c>
      <c r="G615" s="6" t="s">
        <v>607</v>
      </c>
      <c r="H615" s="6" t="s">
        <v>977</v>
      </c>
      <c r="I615" s="6" t="s">
        <v>20</v>
      </c>
      <c r="J615" s="29"/>
      <c r="K615" s="8" t="str">
        <f t="shared" si="127"/>
        <v/>
      </c>
      <c r="L615" s="8" t="str">
        <f t="shared" si="128"/>
        <v/>
      </c>
      <c r="M615" s="8"/>
      <c r="N615" s="8"/>
      <c r="O615" s="8">
        <v>2.411</v>
      </c>
      <c r="P615" s="8">
        <f>0.832+1.762+0.993</f>
        <v>3.5869999999999997</v>
      </c>
      <c r="Q615" s="8"/>
      <c r="R615" s="8"/>
      <c r="S615" s="8">
        <v>1.194</v>
      </c>
      <c r="T615" s="8">
        <f>0.545+1.28+0.835</f>
        <v>2.66</v>
      </c>
      <c r="U615" s="8"/>
      <c r="V615" s="8">
        <f t="shared" si="132"/>
        <v>1.4877644131065946</v>
      </c>
      <c r="W615" s="8"/>
      <c r="X615" s="8">
        <f>T615/S615</f>
        <v>2.2278056951423788</v>
      </c>
      <c r="Y615" s="31">
        <f t="shared" si="129"/>
        <v>-0.26899546465884733</v>
      </c>
      <c r="Z615" s="31">
        <f t="shared" si="130"/>
        <v>-0.26899546465884733</v>
      </c>
      <c r="AA615" s="31" t="str">
        <f t="shared" si="131"/>
        <v/>
      </c>
    </row>
    <row r="616" spans="1:27" x14ac:dyDescent="0.25">
      <c r="A616" s="6" t="str">
        <f t="shared" si="125"/>
        <v>complete</v>
      </c>
      <c r="C616" s="6" t="str">
        <f t="shared" si="126"/>
        <v>HC254 1781</v>
      </c>
      <c r="D616" s="6" t="s">
        <v>602</v>
      </c>
      <c r="E616" s="20">
        <v>1781</v>
      </c>
      <c r="F616" s="6" t="s">
        <v>190</v>
      </c>
      <c r="G616" s="6" t="s">
        <v>603</v>
      </c>
      <c r="H616" s="6" t="s">
        <v>977</v>
      </c>
      <c r="I616" s="6" t="s">
        <v>20</v>
      </c>
      <c r="J616" s="29">
        <v>27.767939999999999</v>
      </c>
      <c r="K616" s="8">
        <f t="shared" si="127"/>
        <v>1.4435436622559417</v>
      </c>
      <c r="L616" s="8">
        <f t="shared" si="128"/>
        <v>7.9290523037846539</v>
      </c>
      <c r="M616" s="8">
        <v>3.153</v>
      </c>
      <c r="N616" s="8">
        <f>1.568+2.215+0.506</f>
        <v>4.2889999999999997</v>
      </c>
      <c r="O616" s="8">
        <v>5.5780000000000003</v>
      </c>
      <c r="P616" s="8">
        <f>1.308+2.446+2.517+0.9</f>
        <v>7.1710000000000012</v>
      </c>
      <c r="Q616" s="8"/>
      <c r="R616" s="8"/>
      <c r="S616" s="8"/>
      <c r="T616" s="8"/>
      <c r="U616" s="8">
        <f>N616/M616</f>
        <v>1.3602917856010148</v>
      </c>
      <c r="V616" s="8">
        <f t="shared" si="132"/>
        <v>1.2855862316242381</v>
      </c>
      <c r="W616" s="8"/>
      <c r="X616" s="8"/>
      <c r="Y616" s="31">
        <f t="shared" si="129"/>
        <v>-0.12153982239342453</v>
      </c>
      <c r="Z616" s="31" t="str">
        <f t="shared" si="130"/>
        <v/>
      </c>
      <c r="AA616" s="31">
        <f t="shared" si="131"/>
        <v>-0.12153982239342453</v>
      </c>
    </row>
    <row r="617" spans="1:27" x14ac:dyDescent="0.25">
      <c r="A617" s="6" t="str">
        <f t="shared" si="125"/>
        <v>complete</v>
      </c>
      <c r="C617" s="6" t="str">
        <f t="shared" si="126"/>
        <v>HC254 1855</v>
      </c>
      <c r="D617" s="6" t="s">
        <v>602</v>
      </c>
      <c r="E617" s="20">
        <v>1855</v>
      </c>
      <c r="G617" s="6" t="s">
        <v>611</v>
      </c>
      <c r="H617" s="6" t="s">
        <v>977</v>
      </c>
      <c r="I617" s="6" t="s">
        <v>20</v>
      </c>
      <c r="J617" s="29">
        <v>15.25564</v>
      </c>
      <c r="K617" s="8">
        <f t="shared" si="127"/>
        <v>1.1834304317514925</v>
      </c>
      <c r="L617" s="8">
        <f t="shared" si="128"/>
        <v>7.3301194567345851</v>
      </c>
      <c r="M617" s="8">
        <v>2.4430000000000001</v>
      </c>
      <c r="N617" s="8">
        <f>1.732+0.098+1.727+0.885</f>
        <v>4.4420000000000002</v>
      </c>
      <c r="O617" s="8">
        <v>2.2429999999999999</v>
      </c>
      <c r="P617" s="8">
        <f>1.048+1.003+1.173+0.826</f>
        <v>4.05</v>
      </c>
      <c r="Q617" s="8"/>
      <c r="R617" s="8"/>
      <c r="S617" s="8"/>
      <c r="T617" s="8"/>
      <c r="U617" s="8">
        <f>N617/M617</f>
        <v>1.8182562423250102</v>
      </c>
      <c r="V617" s="8">
        <f t="shared" si="132"/>
        <v>1.8056174765938475</v>
      </c>
      <c r="W617" s="8"/>
      <c r="X617" s="8"/>
      <c r="Y617" s="31">
        <f t="shared" si="129"/>
        <v>-0.25814305975021551</v>
      </c>
      <c r="Z617" s="31" t="str">
        <f t="shared" si="130"/>
        <v/>
      </c>
      <c r="AA617" s="31">
        <f t="shared" si="131"/>
        <v>-0.25814305975021551</v>
      </c>
    </row>
    <row r="618" spans="1:27" x14ac:dyDescent="0.25">
      <c r="A618" s="6" t="str">
        <f t="shared" si="125"/>
        <v>complete</v>
      </c>
      <c r="C618" s="6" t="str">
        <f t="shared" si="126"/>
        <v>HC254 1855</v>
      </c>
      <c r="D618" s="6" t="s">
        <v>602</v>
      </c>
      <c r="E618" s="20">
        <v>1855</v>
      </c>
      <c r="G618" s="6" t="s">
        <v>612</v>
      </c>
      <c r="H618" s="6" t="s">
        <v>977</v>
      </c>
      <c r="I618" s="6" t="s">
        <v>20</v>
      </c>
      <c r="J618" s="29">
        <v>10.87247</v>
      </c>
      <c r="K618" s="8">
        <f t="shared" si="127"/>
        <v>1.0363282180064992</v>
      </c>
      <c r="L618" s="8">
        <f t="shared" si="128"/>
        <v>6.9914040922189402</v>
      </c>
      <c r="M618" s="8"/>
      <c r="N618" s="8"/>
      <c r="O618" s="8">
        <v>2.3519999999999999</v>
      </c>
      <c r="P618" s="8">
        <f>0.77+1.063+1.508+0.704</f>
        <v>4.0449999999999999</v>
      </c>
      <c r="Q618" s="8">
        <v>1.679</v>
      </c>
      <c r="R618" s="8">
        <f>0.556+1.565+0.759</f>
        <v>2.88</v>
      </c>
      <c r="S618" s="8"/>
      <c r="T618" s="8"/>
      <c r="U618" s="8"/>
      <c r="V618" s="8">
        <f t="shared" si="132"/>
        <v>1.719812925170068</v>
      </c>
      <c r="W618" s="8">
        <f>R618/Q618</f>
        <v>1.7153067301965454</v>
      </c>
      <c r="X618" s="8"/>
      <c r="Y618" s="31">
        <f t="shared" si="129"/>
        <v>-0.23491187375498868</v>
      </c>
      <c r="Z618" s="31" t="str">
        <f t="shared" si="130"/>
        <v/>
      </c>
      <c r="AA618" s="31">
        <f t="shared" si="131"/>
        <v>-0.23491187375498868</v>
      </c>
    </row>
    <row r="619" spans="1:27" x14ac:dyDescent="0.25">
      <c r="A619" s="6" t="str">
        <f t="shared" si="125"/>
        <v>complete</v>
      </c>
      <c r="C619" s="6" t="str">
        <f t="shared" si="126"/>
        <v>HC254 1855</v>
      </c>
      <c r="D619" s="6" t="s">
        <v>602</v>
      </c>
      <c r="E619" s="20">
        <v>1855</v>
      </c>
      <c r="G619" s="6" t="s">
        <v>613</v>
      </c>
      <c r="H619" s="6" t="s">
        <v>977</v>
      </c>
      <c r="I619" s="6" t="s">
        <v>20</v>
      </c>
      <c r="J619" s="29">
        <v>13.053280000000001</v>
      </c>
      <c r="K619" s="8">
        <f t="shared" si="127"/>
        <v>1.1157196539666201</v>
      </c>
      <c r="L619" s="8">
        <f t="shared" si="128"/>
        <v>7.1742096291721058</v>
      </c>
      <c r="M619" s="8">
        <v>1.8479999999999999</v>
      </c>
      <c r="N619" s="8">
        <f>1.438+0.764</f>
        <v>2.202</v>
      </c>
      <c r="O619" s="8">
        <v>2.149</v>
      </c>
      <c r="P619" s="8">
        <f>1.058+1.523+1.05</f>
        <v>3.6310000000000002</v>
      </c>
      <c r="Q619" s="8"/>
      <c r="R619" s="8"/>
      <c r="S619" s="8"/>
      <c r="T619" s="8"/>
      <c r="U619" s="8">
        <f>N619/M619</f>
        <v>1.1915584415584417</v>
      </c>
      <c r="V619" s="8">
        <f t="shared" si="132"/>
        <v>1.6896230805025594</v>
      </c>
      <c r="W619" s="8"/>
      <c r="X619" s="8"/>
      <c r="Y619" s="31">
        <f t="shared" si="129"/>
        <v>-0.15854062518012776</v>
      </c>
      <c r="Z619" s="31" t="str">
        <f t="shared" si="130"/>
        <v/>
      </c>
      <c r="AA619" s="31">
        <f t="shared" si="131"/>
        <v>-0.15854062518012776</v>
      </c>
    </row>
    <row r="620" spans="1:27" x14ac:dyDescent="0.25">
      <c r="A620" s="6" t="str">
        <f t="shared" si="125"/>
        <v>complete</v>
      </c>
      <c r="C620" s="6" t="str">
        <f t="shared" si="126"/>
        <v>HC254 1855</v>
      </c>
      <c r="D620" s="6" t="s">
        <v>602</v>
      </c>
      <c r="E620" s="20">
        <v>1855</v>
      </c>
      <c r="G620" s="6" t="s">
        <v>614</v>
      </c>
      <c r="H620" s="6" t="s">
        <v>977</v>
      </c>
      <c r="I620" s="6" t="s">
        <v>20</v>
      </c>
      <c r="J620" s="29">
        <v>9.7567500000000003</v>
      </c>
      <c r="K620" s="8">
        <f t="shared" si="127"/>
        <v>0.98930517708060739</v>
      </c>
      <c r="L620" s="8">
        <f t="shared" si="128"/>
        <v>6.8831295391557328</v>
      </c>
      <c r="M620" s="8"/>
      <c r="N620" s="8"/>
      <c r="O620" s="8">
        <v>2.044</v>
      </c>
      <c r="P620" s="8">
        <f>0.54 + 1.737 + 1.148 + 0.32</f>
        <v>3.7449999999999997</v>
      </c>
      <c r="Q620" s="8"/>
      <c r="R620" s="8"/>
      <c r="S620" s="8">
        <v>1.833</v>
      </c>
      <c r="T620" s="8">
        <f>0.405 + 2.212 + 0.842</f>
        <v>3.4590000000000001</v>
      </c>
      <c r="U620" s="8"/>
      <c r="V620" s="8">
        <f t="shared" si="132"/>
        <v>1.8321917808219177</v>
      </c>
      <c r="W620" s="8"/>
      <c r="X620" s="8">
        <f>T620/S620</f>
        <v>1.8870703764320786</v>
      </c>
      <c r="Y620" s="31">
        <f t="shared" si="129"/>
        <v>-0.26942679561140698</v>
      </c>
      <c r="Z620" s="31" t="str">
        <f t="shared" si="130"/>
        <v/>
      </c>
      <c r="AA620" s="31">
        <f t="shared" si="131"/>
        <v>-0.26942679561140698</v>
      </c>
    </row>
    <row r="621" spans="1:27" x14ac:dyDescent="0.25">
      <c r="A621" s="6" t="str">
        <f t="shared" si="125"/>
        <v>complete</v>
      </c>
      <c r="C621" s="6" t="str">
        <f t="shared" si="126"/>
        <v>HC254 1855</v>
      </c>
      <c r="D621" s="6" t="s">
        <v>602</v>
      </c>
      <c r="E621" s="20">
        <v>1855</v>
      </c>
      <c r="G621" s="6" t="s">
        <v>615</v>
      </c>
      <c r="H621" s="6" t="s">
        <v>977</v>
      </c>
      <c r="I621" s="6" t="s">
        <v>20</v>
      </c>
      <c r="J621" s="29">
        <v>13.47831</v>
      </c>
      <c r="K621" s="8">
        <f t="shared" si="127"/>
        <v>1.1296354408872287</v>
      </c>
      <c r="L621" s="8">
        <f t="shared" si="128"/>
        <v>7.2062519126927809</v>
      </c>
      <c r="M621" s="8">
        <v>0.76900000000000002</v>
      </c>
      <c r="N621" s="8">
        <f>0.638+0.856</f>
        <v>1.494</v>
      </c>
      <c r="O621" s="8"/>
      <c r="P621" s="8"/>
      <c r="Q621" s="8">
        <v>0.88100000000000001</v>
      </c>
      <c r="R621" s="8">
        <f>0.452+0.664+0.587</f>
        <v>1.7030000000000001</v>
      </c>
      <c r="S621" s="8"/>
      <c r="T621" s="8"/>
      <c r="U621" s="8">
        <f>N621/M621</f>
        <v>1.942782834850455</v>
      </c>
      <c r="V621" s="8"/>
      <c r="W621" s="8">
        <f>R621/Q621</f>
        <v>1.9330306469920546</v>
      </c>
      <c r="X621" s="8"/>
      <c r="Y621" s="31">
        <f t="shared" si="129"/>
        <v>-0.2873328733969861</v>
      </c>
      <c r="Z621" s="31" t="str">
        <f t="shared" si="130"/>
        <v/>
      </c>
      <c r="AA621" s="31">
        <f t="shared" si="131"/>
        <v>-0.2873328733969861</v>
      </c>
    </row>
    <row r="622" spans="1:27" x14ac:dyDescent="0.25">
      <c r="A622" s="6" t="str">
        <f t="shared" si="125"/>
        <v>complete</v>
      </c>
      <c r="C622" s="6" t="str">
        <f t="shared" si="126"/>
        <v>HC254 428</v>
      </c>
      <c r="D622" s="6" t="s">
        <v>602</v>
      </c>
      <c r="E622" s="20">
        <v>428</v>
      </c>
      <c r="F622" s="6" t="s">
        <v>154</v>
      </c>
      <c r="G622" s="6" t="s">
        <v>608</v>
      </c>
      <c r="H622" s="6" t="s">
        <v>979</v>
      </c>
      <c r="I622" s="6" t="s">
        <v>20</v>
      </c>
      <c r="J622" s="29">
        <f>33.893*2</f>
        <v>67.786000000000001</v>
      </c>
      <c r="K622" s="8">
        <f t="shared" si="127"/>
        <v>1.8311400072804209</v>
      </c>
      <c r="L622" s="8">
        <f t="shared" si="128"/>
        <v>8.8215258699369965</v>
      </c>
      <c r="M622" s="8"/>
      <c r="N622" s="8"/>
      <c r="O622" s="8">
        <v>15.925000000000001</v>
      </c>
      <c r="P622" s="8">
        <f>1.261 + 2.989 + 3.109 + 3.414 + 4.513 + 3.627 + 2.113 + 0.911</f>
        <v>21.937000000000001</v>
      </c>
      <c r="Q622" s="8"/>
      <c r="R622" s="8"/>
      <c r="S622" s="8"/>
      <c r="T622" s="8"/>
      <c r="U622" s="8"/>
      <c r="V622" s="8">
        <f>P622/O622</f>
        <v>1.3775196232339089</v>
      </c>
      <c r="W622" s="8"/>
      <c r="X622" s="8"/>
      <c r="Y622" s="31">
        <f t="shared" si="129"/>
        <v>-0.13909779423997665</v>
      </c>
      <c r="Z622" s="31" t="str">
        <f t="shared" si="130"/>
        <v/>
      </c>
      <c r="AA622" s="31">
        <f t="shared" si="131"/>
        <v>-0.13909779423997665</v>
      </c>
    </row>
    <row r="623" spans="1:27" x14ac:dyDescent="0.25">
      <c r="A623" s="6" t="str">
        <f t="shared" si="125"/>
        <v>complete</v>
      </c>
      <c r="B623" s="6" t="s">
        <v>617</v>
      </c>
      <c r="C623" s="6" t="str">
        <f t="shared" si="126"/>
        <v>HC261 428</v>
      </c>
      <c r="D623" s="6" t="s">
        <v>616</v>
      </c>
      <c r="E623" s="20">
        <v>428</v>
      </c>
      <c r="F623" s="6" t="s">
        <v>154</v>
      </c>
      <c r="G623" s="6" t="s">
        <v>618</v>
      </c>
      <c r="H623" s="6" t="s">
        <v>979</v>
      </c>
      <c r="I623" s="6" t="s">
        <v>20</v>
      </c>
      <c r="J623" s="29">
        <v>25.920999999999999</v>
      </c>
      <c r="K623" s="8">
        <f t="shared" si="127"/>
        <v>1.4136517520636993</v>
      </c>
      <c r="L623" s="8">
        <f t="shared" si="128"/>
        <v>7.8602236369748804</v>
      </c>
      <c r="M623" s="8"/>
      <c r="N623" s="8"/>
      <c r="O623" s="8"/>
      <c r="P623" s="8"/>
      <c r="Q623" s="8">
        <v>1.8759999999999999</v>
      </c>
      <c r="R623" s="8">
        <f>0.422 + 1.491 + 0.476 + 1.558 + 0.553</f>
        <v>4.5</v>
      </c>
      <c r="S623" s="8">
        <v>6.9980000000000002</v>
      </c>
      <c r="T623" s="8">
        <f>0.787 + 1.786 + 2.828 + 0.372 + 2.812 + 6.601</f>
        <v>15.186</v>
      </c>
      <c r="U623" s="8"/>
      <c r="V623" s="8"/>
      <c r="W623" s="8">
        <f>R623/Q623</f>
        <v>2.398720682302772</v>
      </c>
      <c r="X623" s="8">
        <f>T623/S623</f>
        <v>2.1700485853100884</v>
      </c>
      <c r="Y623" s="31">
        <f t="shared" si="129"/>
        <v>-0.3587692301674319</v>
      </c>
      <c r="Z623" s="31" t="str">
        <f t="shared" si="130"/>
        <v/>
      </c>
      <c r="AA623" s="31">
        <f t="shared" si="131"/>
        <v>-0.3587692301674319</v>
      </c>
    </row>
    <row r="624" spans="1:27" x14ac:dyDescent="0.25">
      <c r="A624" s="6" t="str">
        <f t="shared" si="125"/>
        <v>fragment</v>
      </c>
      <c r="B624" s="6" t="s">
        <v>617</v>
      </c>
      <c r="C624" s="6" t="str">
        <f t="shared" si="126"/>
        <v>HC261 428</v>
      </c>
      <c r="D624" s="6" t="s">
        <v>616</v>
      </c>
      <c r="E624" s="20">
        <v>428</v>
      </c>
      <c r="F624" s="6" t="s">
        <v>154</v>
      </c>
      <c r="G624" s="6" t="s">
        <v>619</v>
      </c>
      <c r="H624" s="6" t="s">
        <v>979</v>
      </c>
      <c r="I624" s="6" t="s">
        <v>20</v>
      </c>
      <c r="J624" s="29"/>
      <c r="K624" s="8" t="str">
        <f t="shared" si="127"/>
        <v/>
      </c>
      <c r="L624" s="8" t="str">
        <f t="shared" si="128"/>
        <v/>
      </c>
      <c r="M624" s="8"/>
      <c r="N624" s="8"/>
      <c r="O624" s="8">
        <v>1.6240000000000001</v>
      </c>
      <c r="P624" s="8">
        <f>0.807 + 0.996 + 1.002 + 0.758</f>
        <v>3.5629999999999997</v>
      </c>
      <c r="Q624" s="8">
        <v>1.05</v>
      </c>
      <c r="R624" s="8">
        <f>0.657 + 0.75 + 0.374 + 0.62</f>
        <v>2.4010000000000002</v>
      </c>
      <c r="S624" s="8">
        <v>4.3150000000000004</v>
      </c>
      <c r="T624" s="8">
        <f>0.949 + 1.58 + 1.532 + 1.625 + 1.529 + 1.532 + 0.646</f>
        <v>9.3930000000000007</v>
      </c>
      <c r="U624" s="8"/>
      <c r="V624" s="8">
        <f>P624/O624</f>
        <v>2.193965517241379</v>
      </c>
      <c r="W624" s="8">
        <f>R624/Q624</f>
        <v>2.2866666666666666</v>
      </c>
      <c r="X624" s="8">
        <f>T624/S624</f>
        <v>2.1768250289687137</v>
      </c>
      <c r="Y624" s="31">
        <f t="shared" si="129"/>
        <v>-0.34618712921276096</v>
      </c>
      <c r="Z624" s="31">
        <f t="shared" si="130"/>
        <v>-0.34618712921276096</v>
      </c>
      <c r="AA624" s="31" t="str">
        <f t="shared" si="131"/>
        <v/>
      </c>
    </row>
    <row r="625" spans="1:27" x14ac:dyDescent="0.25">
      <c r="A625" s="6" t="str">
        <f t="shared" si="125"/>
        <v>fragment</v>
      </c>
      <c r="B625" s="6" t="s">
        <v>617</v>
      </c>
      <c r="C625" s="6" t="str">
        <f t="shared" si="126"/>
        <v>HC261 428</v>
      </c>
      <c r="D625" s="6" t="s">
        <v>616</v>
      </c>
      <c r="E625" s="20">
        <v>428</v>
      </c>
      <c r="F625" s="6" t="s">
        <v>154</v>
      </c>
      <c r="G625" s="6" t="s">
        <v>620</v>
      </c>
      <c r="H625" s="6" t="s">
        <v>979</v>
      </c>
      <c r="I625" s="6" t="s">
        <v>20</v>
      </c>
      <c r="J625" s="29"/>
      <c r="K625" s="8" t="str">
        <f t="shared" si="127"/>
        <v/>
      </c>
      <c r="L625" s="8" t="str">
        <f t="shared" si="128"/>
        <v/>
      </c>
      <c r="M625" s="8"/>
      <c r="N625" s="8"/>
      <c r="O625" s="8">
        <v>2.3620000000000001</v>
      </c>
      <c r="P625" s="8">
        <f>0.507 + 1.251 + 1.314 + 0.576 + 0.856</f>
        <v>4.5040000000000004</v>
      </c>
      <c r="Q625" s="8">
        <v>1.06</v>
      </c>
      <c r="R625" s="8">
        <f>0.446 + 0.992 + 1.226 + 0.547</f>
        <v>3.2109999999999999</v>
      </c>
      <c r="S625" s="8"/>
      <c r="T625" s="8"/>
      <c r="U625" s="8"/>
      <c r="V625" s="8">
        <f>P625/O625</f>
        <v>1.9068585944115157</v>
      </c>
      <c r="W625" s="8">
        <f>R625/Q625</f>
        <v>3.0292452830188674</v>
      </c>
      <c r="X625" s="8"/>
      <c r="Y625" s="31">
        <f t="shared" si="129"/>
        <v>-0.39235429493172963</v>
      </c>
      <c r="Z625" s="31">
        <f t="shared" si="130"/>
        <v>-0.39235429493172963</v>
      </c>
      <c r="AA625" s="31" t="str">
        <f t="shared" si="131"/>
        <v/>
      </c>
    </row>
    <row r="626" spans="1:27" x14ac:dyDescent="0.25">
      <c r="A626" s="6" t="str">
        <f t="shared" si="125"/>
        <v>complete</v>
      </c>
      <c r="B626" s="6" t="s">
        <v>617</v>
      </c>
      <c r="C626" s="6" t="str">
        <f t="shared" si="126"/>
        <v>HC261 428</v>
      </c>
      <c r="D626" s="6" t="s">
        <v>616</v>
      </c>
      <c r="E626" s="20">
        <v>428</v>
      </c>
      <c r="F626" s="6" t="s">
        <v>154</v>
      </c>
      <c r="G626" s="6" t="s">
        <v>621</v>
      </c>
      <c r="H626" s="6" t="s">
        <v>979</v>
      </c>
      <c r="I626" s="6" t="s">
        <v>20</v>
      </c>
      <c r="J626" s="29">
        <f>3.737*2</f>
        <v>7.4740000000000002</v>
      </c>
      <c r="K626" s="8">
        <f t="shared" si="127"/>
        <v>0.87355309351361876</v>
      </c>
      <c r="L626" s="8">
        <f t="shared" si="128"/>
        <v>6.6166005170513831</v>
      </c>
      <c r="M626" s="8"/>
      <c r="N626" s="8"/>
      <c r="O626" s="8">
        <v>0.56999999999999995</v>
      </c>
      <c r="P626" s="8">
        <f>0.316 + 0.769 + 0.786 + 0.187</f>
        <v>2.0579999999999998</v>
      </c>
      <c r="Q626" s="8"/>
      <c r="R626" s="8"/>
      <c r="S626" s="8">
        <v>1.6679999999999999</v>
      </c>
      <c r="T626" s="8">
        <f>0.393 + 0.166 + 1.265 + 1.664 + 1.058 + 0.261</f>
        <v>4.8069999999999995</v>
      </c>
      <c r="U626" s="8"/>
      <c r="V626" s="8">
        <f>P626/O626</f>
        <v>3.6105263157894738</v>
      </c>
      <c r="W626" s="8"/>
      <c r="X626" s="8">
        <f>T626/S626</f>
        <v>2.8818944844124696</v>
      </c>
      <c r="Y626" s="31">
        <f t="shared" si="129"/>
        <v>-0.51137666479445443</v>
      </c>
      <c r="Z626" s="31" t="str">
        <f t="shared" si="130"/>
        <v/>
      </c>
      <c r="AA626" s="31">
        <f t="shared" si="131"/>
        <v>-0.51137666479445443</v>
      </c>
    </row>
    <row r="627" spans="1:27" x14ac:dyDescent="0.25">
      <c r="A627" s="6" t="str">
        <f t="shared" si="125"/>
        <v>fragment</v>
      </c>
      <c r="B627" s="6" t="s">
        <v>617</v>
      </c>
      <c r="C627" s="6" t="str">
        <f t="shared" si="126"/>
        <v>HC261 428</v>
      </c>
      <c r="D627" s="6" t="s">
        <v>616</v>
      </c>
      <c r="E627" s="20">
        <v>428</v>
      </c>
      <c r="F627" s="6" t="s">
        <v>154</v>
      </c>
      <c r="G627" s="6" t="s">
        <v>622</v>
      </c>
      <c r="H627" s="6" t="s">
        <v>979</v>
      </c>
      <c r="I627" s="6" t="s">
        <v>20</v>
      </c>
      <c r="J627" s="29"/>
      <c r="K627" s="8" t="str">
        <f t="shared" si="127"/>
        <v/>
      </c>
      <c r="L627" s="8" t="str">
        <f t="shared" si="128"/>
        <v/>
      </c>
      <c r="M627" s="8"/>
      <c r="N627" s="8"/>
      <c r="O627" s="8"/>
      <c r="P627" s="8"/>
      <c r="Q627" s="8">
        <v>1.337</v>
      </c>
      <c r="R627" s="8">
        <f>0.386+0.783+0.734+0.477+0.848+0.877+0.363</f>
        <v>4.468</v>
      </c>
      <c r="S627" s="8"/>
      <c r="T627" s="8"/>
      <c r="U627" s="8"/>
      <c r="V627" s="8"/>
      <c r="W627" s="8">
        <f>R627/Q627</f>
        <v>3.3418100224382949</v>
      </c>
      <c r="X627" s="8"/>
      <c r="Y627" s="31">
        <f t="shared" si="129"/>
        <v>-0.52398175718158713</v>
      </c>
      <c r="Z627" s="31">
        <f t="shared" si="130"/>
        <v>-0.52398175718158713</v>
      </c>
      <c r="AA627" s="31" t="str">
        <f t="shared" si="131"/>
        <v/>
      </c>
    </row>
    <row r="628" spans="1:27" x14ac:dyDescent="0.25">
      <c r="A628" s="6" t="str">
        <f t="shared" si="125"/>
        <v>complete</v>
      </c>
      <c r="B628" s="6" t="s">
        <v>623</v>
      </c>
      <c r="C628" s="6" t="str">
        <f t="shared" si="126"/>
        <v>HC261 428</v>
      </c>
      <c r="D628" s="6" t="s">
        <v>616</v>
      </c>
      <c r="E628" s="20">
        <v>428</v>
      </c>
      <c r="F628" s="6" t="s">
        <v>154</v>
      </c>
      <c r="G628" s="6" t="s">
        <v>624</v>
      </c>
      <c r="H628" s="6" t="s">
        <v>979</v>
      </c>
      <c r="I628" s="6" t="s">
        <v>20</v>
      </c>
      <c r="J628" s="29">
        <v>52.562359999999998</v>
      </c>
      <c r="K628" s="8">
        <f t="shared" si="127"/>
        <v>1.7206748563989018</v>
      </c>
      <c r="L628" s="8">
        <f t="shared" si="128"/>
        <v>8.5671704602218721</v>
      </c>
      <c r="M628" s="8">
        <v>4.5170000000000003</v>
      </c>
      <c r="N628" s="8">
        <f>0.319+1.187+2.222+1.97+1.745+0.45</f>
        <v>7.8929999999999998</v>
      </c>
      <c r="O628" s="8">
        <v>7.093</v>
      </c>
      <c r="P628" s="8">
        <f>0.702+1.97+2.537+2.47+2.401+2.017+0.663</f>
        <v>12.76</v>
      </c>
      <c r="Q628" s="8">
        <v>6.835</v>
      </c>
      <c r="R628" s="8">
        <f>0.741+1.78+2.176+2.299+2.028+1.76+1.012</f>
        <v>11.796000000000001</v>
      </c>
      <c r="S628" s="8"/>
      <c r="T628" s="8"/>
      <c r="U628" s="8">
        <f>N628/M628</f>
        <v>1.7473987159619215</v>
      </c>
      <c r="V628" s="8">
        <f>P628/O628</f>
        <v>1.7989567178908783</v>
      </c>
      <c r="W628" s="8">
        <f>R628/Q628</f>
        <v>1.7258229700073155</v>
      </c>
      <c r="X628" s="8"/>
      <c r="Y628" s="31">
        <f t="shared" si="129"/>
        <v>-0.24486884309183612</v>
      </c>
      <c r="Z628" s="31" t="str">
        <f t="shared" si="130"/>
        <v/>
      </c>
      <c r="AA628" s="31">
        <f t="shared" si="131"/>
        <v>-0.24486884309183612</v>
      </c>
    </row>
    <row r="629" spans="1:27" x14ac:dyDescent="0.25">
      <c r="A629" s="6" t="str">
        <f t="shared" si="125"/>
        <v>complete</v>
      </c>
      <c r="B629" s="6" t="s">
        <v>623</v>
      </c>
      <c r="C629" s="6" t="str">
        <f t="shared" si="126"/>
        <v>HC261 428</v>
      </c>
      <c r="D629" s="6" t="s">
        <v>616</v>
      </c>
      <c r="E629" s="20">
        <v>428</v>
      </c>
      <c r="F629" s="6" t="s">
        <v>154</v>
      </c>
      <c r="G629" s="6" t="s">
        <v>625</v>
      </c>
      <c r="H629" s="6" t="s">
        <v>979</v>
      </c>
      <c r="I629" s="6" t="s">
        <v>20</v>
      </c>
      <c r="J629" s="29">
        <v>60.547690000000003</v>
      </c>
      <c r="K629" s="8">
        <f t="shared" si="127"/>
        <v>1.782097578703014</v>
      </c>
      <c r="L629" s="8">
        <f t="shared" si="128"/>
        <v>8.7086015049704351</v>
      </c>
      <c r="M629" s="8">
        <v>4.5350000000000001</v>
      </c>
      <c r="N629" s="8">
        <f>0.772+2.33+2.475+1.257</f>
        <v>6.8339999999999996</v>
      </c>
      <c r="O629" s="8">
        <v>8.1829999999999998</v>
      </c>
      <c r="P629" s="8">
        <f>0.984+2.735+3.138+2.633+1.275</f>
        <v>10.764999999999999</v>
      </c>
      <c r="Q629" s="8">
        <v>3.8479999999999999</v>
      </c>
      <c r="R629" s="8">
        <f>0.661+1.484+1.519+1.551+0.654</f>
        <v>5.8689999999999998</v>
      </c>
      <c r="S629" s="8"/>
      <c r="T629" s="8"/>
      <c r="U629" s="8">
        <f>N629/M629</f>
        <v>1.5069459757442116</v>
      </c>
      <c r="V629" s="8">
        <f>P629/O629</f>
        <v>1.3155322009043138</v>
      </c>
      <c r="W629" s="8">
        <f>R629/Q629</f>
        <v>1.5252079002079002</v>
      </c>
      <c r="X629" s="8"/>
      <c r="Y629" s="31">
        <f t="shared" si="129"/>
        <v>-0.1611369237463674</v>
      </c>
      <c r="Z629" s="31" t="str">
        <f t="shared" si="130"/>
        <v/>
      </c>
      <c r="AA629" s="31">
        <f t="shared" si="131"/>
        <v>-0.1611369237463674</v>
      </c>
    </row>
    <row r="630" spans="1:27" x14ac:dyDescent="0.25">
      <c r="A630" s="6" t="str">
        <f t="shared" si="125"/>
        <v>complete</v>
      </c>
      <c r="B630" s="6" t="s">
        <v>623</v>
      </c>
      <c r="C630" s="6" t="str">
        <f t="shared" si="126"/>
        <v>HC261 9531</v>
      </c>
      <c r="D630" s="6" t="s">
        <v>616</v>
      </c>
      <c r="E630" s="20">
        <v>9531</v>
      </c>
      <c r="G630" s="6" t="s">
        <v>626</v>
      </c>
      <c r="I630" s="8" t="s">
        <v>20</v>
      </c>
      <c r="J630" s="29">
        <f>2*19.179</f>
        <v>38.357999999999997</v>
      </c>
      <c r="K630" s="8">
        <f t="shared" si="127"/>
        <v>1.583855954817508</v>
      </c>
      <c r="L630" s="8">
        <f t="shared" si="128"/>
        <v>8.2521332970007357</v>
      </c>
      <c r="M630" s="8">
        <v>1.323</v>
      </c>
      <c r="N630" s="8">
        <f>1.955+1.425</f>
        <v>3.38</v>
      </c>
      <c r="O630" s="8">
        <v>2.6520000000000001</v>
      </c>
      <c r="P630" s="8">
        <f>1.239+2.821+0.94</f>
        <v>5</v>
      </c>
      <c r="Q630" s="8">
        <v>3.456</v>
      </c>
      <c r="R630" s="8">
        <f>0.62+2.246+2.105+0.851</f>
        <v>5.8220000000000001</v>
      </c>
      <c r="S630" s="8"/>
      <c r="T630" s="8"/>
      <c r="U630" s="8">
        <f>N630/M630</f>
        <v>2.5547996976568403</v>
      </c>
      <c r="V630" s="8">
        <f>P630/O630</f>
        <v>1.8853695324283559</v>
      </c>
      <c r="W630" s="8">
        <f>R630/Q630</f>
        <v>1.6846064814814816</v>
      </c>
      <c r="X630" s="8"/>
      <c r="Y630" s="31">
        <f t="shared" si="129"/>
        <v>-0.30996893480467186</v>
      </c>
      <c r="Z630" s="31" t="str">
        <f t="shared" si="130"/>
        <v/>
      </c>
      <c r="AA630" s="31">
        <f t="shared" si="131"/>
        <v>-0.30996893480467186</v>
      </c>
    </row>
    <row r="631" spans="1:27" x14ac:dyDescent="0.25">
      <c r="A631" s="6" t="str">
        <f t="shared" si="125"/>
        <v>complete</v>
      </c>
      <c r="C631" s="6" t="str">
        <f t="shared" si="126"/>
        <v>HC264 428</v>
      </c>
      <c r="D631" s="6" t="s">
        <v>627</v>
      </c>
      <c r="E631" s="20">
        <v>428</v>
      </c>
      <c r="F631" s="6" t="s">
        <v>154</v>
      </c>
      <c r="G631" s="6" t="s">
        <v>632</v>
      </c>
      <c r="H631" s="6" t="s">
        <v>979</v>
      </c>
      <c r="I631" s="6" t="s">
        <v>20</v>
      </c>
      <c r="J631" s="29">
        <f>14.445*2</f>
        <v>28.89</v>
      </c>
      <c r="K631" s="8">
        <f t="shared" si="127"/>
        <v>1.4607475418441969</v>
      </c>
      <c r="L631" s="8">
        <f t="shared" si="128"/>
        <v>7.9686657004662349</v>
      </c>
      <c r="M631" s="8"/>
      <c r="N631" s="8"/>
      <c r="O631" s="8"/>
      <c r="P631" s="8"/>
      <c r="Q631" s="8"/>
      <c r="R631" s="8"/>
      <c r="S631" s="8">
        <v>3.5680000000000001</v>
      </c>
      <c r="T631" s="8">
        <f>1.558+1.568+0.831</f>
        <v>3.9570000000000003</v>
      </c>
      <c r="U631" s="8"/>
      <c r="V631" s="8"/>
      <c r="W631" s="8"/>
      <c r="X631" s="8">
        <f>T631/S631</f>
        <v>1.1090246636771302</v>
      </c>
      <c r="Y631" s="31">
        <f t="shared" si="129"/>
        <v>-4.4941204561942338E-2</v>
      </c>
      <c r="Z631" s="31" t="str">
        <f t="shared" si="130"/>
        <v/>
      </c>
      <c r="AA631" s="31">
        <f t="shared" si="131"/>
        <v>-4.4941204561942338E-2</v>
      </c>
    </row>
    <row r="632" spans="1:27" x14ac:dyDescent="0.25">
      <c r="A632" s="6" t="str">
        <f t="shared" si="125"/>
        <v>complete</v>
      </c>
      <c r="C632" s="6" t="str">
        <f t="shared" si="126"/>
        <v>HC264 900</v>
      </c>
      <c r="D632" s="6" t="s">
        <v>627</v>
      </c>
      <c r="E632" s="20">
        <v>900</v>
      </c>
      <c r="F632" s="6" t="s">
        <v>180</v>
      </c>
      <c r="G632" s="6" t="s">
        <v>628</v>
      </c>
      <c r="H632" s="6" t="s">
        <v>977</v>
      </c>
      <c r="I632" s="6" t="s">
        <v>20</v>
      </c>
      <c r="J632" s="29">
        <v>28.844999999999999</v>
      </c>
      <c r="K632" s="8">
        <f t="shared" si="127"/>
        <v>1.4600705432941612</v>
      </c>
      <c r="L632" s="8">
        <f t="shared" si="128"/>
        <v>7.9671068536969445</v>
      </c>
      <c r="M632" s="8"/>
      <c r="N632" s="8"/>
      <c r="O632" s="8">
        <v>2.2879999999999998</v>
      </c>
      <c r="P632" s="8">
        <f>0.959+1.061+0.841</f>
        <v>2.8609999999999998</v>
      </c>
      <c r="Q632" s="8"/>
      <c r="R632" s="8"/>
      <c r="S632" s="8">
        <v>3.6619999999999999</v>
      </c>
      <c r="T632" s="8">
        <f>0.792+1.551+1.331</f>
        <v>3.6739999999999999</v>
      </c>
      <c r="U632" s="8"/>
      <c r="V632" s="8">
        <f>P632/O632</f>
        <v>1.2504370629370629</v>
      </c>
      <c r="W632" s="8"/>
      <c r="X632" s="8">
        <f>T632/S632</f>
        <v>1.0032768978700164</v>
      </c>
      <c r="Y632" s="31">
        <f t="shared" si="129"/>
        <v>-5.1868799308735759E-2</v>
      </c>
      <c r="Z632" s="31" t="str">
        <f t="shared" si="130"/>
        <v/>
      </c>
      <c r="AA632" s="31">
        <f t="shared" si="131"/>
        <v>-5.1868799308735759E-2</v>
      </c>
    </row>
    <row r="633" spans="1:27" x14ac:dyDescent="0.25">
      <c r="A633" s="6" t="str">
        <f t="shared" si="125"/>
        <v>complete</v>
      </c>
      <c r="C633" s="6" t="str">
        <f t="shared" si="126"/>
        <v>HC264 900</v>
      </c>
      <c r="D633" s="6" t="s">
        <v>627</v>
      </c>
      <c r="E633" s="20">
        <v>900</v>
      </c>
      <c r="F633" s="6" t="s">
        <v>180</v>
      </c>
      <c r="G633" s="6" t="s">
        <v>630</v>
      </c>
      <c r="H633" s="6" t="s">
        <v>977</v>
      </c>
      <c r="I633" s="6" t="s">
        <v>20</v>
      </c>
      <c r="J633" s="29">
        <v>61.290999999999997</v>
      </c>
      <c r="K633" s="8">
        <f t="shared" si="127"/>
        <v>1.787396707188935</v>
      </c>
      <c r="L633" s="8">
        <f t="shared" si="128"/>
        <v>8.7208031992279764</v>
      </c>
      <c r="M633" s="8"/>
      <c r="N633" s="8"/>
      <c r="O633" s="8">
        <v>3.4260000000000002</v>
      </c>
      <c r="P633" s="8">
        <f>1.406+1.25+0.956</f>
        <v>3.6119999999999997</v>
      </c>
      <c r="Q633" s="8"/>
      <c r="R633" s="8"/>
      <c r="S633" s="8">
        <v>3.6429999999999998</v>
      </c>
      <c r="T633" s="8">
        <f>1.187+1.278+1.366</f>
        <v>3.831</v>
      </c>
      <c r="U633" s="8"/>
      <c r="V633" s="8">
        <f>P633/O633</f>
        <v>1.0542907180385288</v>
      </c>
      <c r="W633" s="8"/>
      <c r="X633" s="8">
        <f>T633/S633</f>
        <v>1.0516058193796323</v>
      </c>
      <c r="Y633" s="31">
        <f t="shared" si="129"/>
        <v>-2.2407034845438305E-2</v>
      </c>
      <c r="Z633" s="31" t="str">
        <f t="shared" si="130"/>
        <v/>
      </c>
      <c r="AA633" s="31">
        <f t="shared" si="131"/>
        <v>-2.2407034845438305E-2</v>
      </c>
    </row>
    <row r="634" spans="1:27" x14ac:dyDescent="0.25">
      <c r="A634" s="6" t="str">
        <f t="shared" si="125"/>
        <v>fragment</v>
      </c>
      <c r="C634" s="6" t="str">
        <f t="shared" si="126"/>
        <v>HC264 900</v>
      </c>
      <c r="D634" s="6" t="s">
        <v>627</v>
      </c>
      <c r="E634" s="20">
        <v>900</v>
      </c>
      <c r="F634" s="6" t="s">
        <v>180</v>
      </c>
      <c r="G634" s="6" t="s">
        <v>631</v>
      </c>
      <c r="H634" s="6" t="s">
        <v>977</v>
      </c>
      <c r="I634" s="6" t="s">
        <v>20</v>
      </c>
      <c r="J634" s="29"/>
      <c r="K634" s="8" t="str">
        <f t="shared" si="127"/>
        <v/>
      </c>
      <c r="L634" s="8" t="str">
        <f t="shared" si="128"/>
        <v/>
      </c>
      <c r="M634" s="8"/>
      <c r="N634" s="8"/>
      <c r="O634" s="8">
        <v>1.0580000000000001</v>
      </c>
      <c r="P634" s="8">
        <f>0.622+0.61+0.603</f>
        <v>1.835</v>
      </c>
      <c r="Q634" s="8"/>
      <c r="R634" s="8"/>
      <c r="S634" s="8">
        <v>3.4239999999999999</v>
      </c>
      <c r="T634" s="8">
        <f>1.273+1.108+1.105+1.029</f>
        <v>4.5150000000000006</v>
      </c>
      <c r="U634" s="8"/>
      <c r="V634" s="8">
        <f>P634/O634</f>
        <v>1.7344045368620036</v>
      </c>
      <c r="W634" s="8"/>
      <c r="X634" s="8">
        <f>T634/S634</f>
        <v>1.3186331775700937</v>
      </c>
      <c r="Y634" s="31">
        <f t="shared" si="129"/>
        <v>-0.18370217354414045</v>
      </c>
      <c r="Z634" s="31">
        <f t="shared" si="130"/>
        <v>-0.18370217354414045</v>
      </c>
      <c r="AA634" s="31" t="str">
        <f t="shared" si="131"/>
        <v/>
      </c>
    </row>
    <row r="635" spans="1:27" x14ac:dyDescent="0.25">
      <c r="A635" s="6" t="str">
        <f t="shared" si="125"/>
        <v>complete</v>
      </c>
      <c r="C635" s="6" t="str">
        <f t="shared" si="126"/>
        <v>HC264 900</v>
      </c>
      <c r="D635" s="6" t="s">
        <v>627</v>
      </c>
      <c r="E635" s="20">
        <v>900</v>
      </c>
      <c r="F635" s="6" t="s">
        <v>180</v>
      </c>
      <c r="G635" s="6" t="s">
        <v>629</v>
      </c>
      <c r="H635" s="6" t="s">
        <v>977</v>
      </c>
      <c r="I635" s="6" t="s">
        <v>20</v>
      </c>
      <c r="J635" s="29">
        <v>17.81645</v>
      </c>
      <c r="K635" s="8">
        <f t="shared" si="127"/>
        <v>1.2508211733821089</v>
      </c>
      <c r="L635" s="8">
        <f t="shared" si="128"/>
        <v>7.485292373819056</v>
      </c>
      <c r="M635" s="8"/>
      <c r="N635" s="8"/>
      <c r="O635" s="8"/>
      <c r="P635" s="8"/>
      <c r="Q635" s="8"/>
      <c r="R635" s="8"/>
      <c r="S635" s="8">
        <v>1.5349999999999999</v>
      </c>
      <c r="T635" s="8">
        <f>1.23+1.086</f>
        <v>2.3159999999999998</v>
      </c>
      <c r="U635" s="8"/>
      <c r="V635" s="8"/>
      <c r="W635" s="8"/>
      <c r="X635" s="8">
        <f>T635/S635</f>
        <v>1.5087947882736157</v>
      </c>
      <c r="Y635" s="31">
        <f t="shared" si="129"/>
        <v>-0.17863017524219332</v>
      </c>
      <c r="Z635" s="31" t="str">
        <f t="shared" si="130"/>
        <v/>
      </c>
      <c r="AA635" s="31">
        <f t="shared" si="131"/>
        <v>-0.17863017524219332</v>
      </c>
    </row>
    <row r="636" spans="1:27" x14ac:dyDescent="0.25">
      <c r="A636" s="6" t="str">
        <f t="shared" si="125"/>
        <v>complete</v>
      </c>
      <c r="C636" s="6" t="str">
        <f t="shared" si="126"/>
        <v>HC264 900</v>
      </c>
      <c r="D636" s="6" t="s">
        <v>627</v>
      </c>
      <c r="E636" s="20">
        <v>900</v>
      </c>
      <c r="F636" s="6" t="s">
        <v>180</v>
      </c>
      <c r="G636" s="6" t="s">
        <v>633</v>
      </c>
      <c r="H636" s="6" t="s">
        <v>977</v>
      </c>
      <c r="I636" s="8" t="s">
        <v>20</v>
      </c>
      <c r="J636" s="29">
        <v>59.209890000000001</v>
      </c>
      <c r="K636" s="8">
        <f t="shared" si="127"/>
        <v>1.7723942542514415</v>
      </c>
      <c r="L636" s="8">
        <f t="shared" si="128"/>
        <v>8.6862587747357587</v>
      </c>
      <c r="M636" s="8">
        <v>3.9529999999999998</v>
      </c>
      <c r="N636" s="8">
        <f>1.477+1.659</f>
        <v>3.1360000000000001</v>
      </c>
      <c r="O636" s="8">
        <v>3.5190000000000001</v>
      </c>
      <c r="P636" s="8">
        <f>1.214+1.204+1.063</f>
        <v>3.4809999999999999</v>
      </c>
      <c r="Q636" s="8"/>
      <c r="R636" s="8"/>
      <c r="S636" s="8"/>
      <c r="T636" s="8"/>
      <c r="U636" s="8">
        <f>N636/M636</f>
        <v>0.79332152795345312</v>
      </c>
      <c r="V636" s="8">
        <f t="shared" ref="V636:V641" si="133">P636/O636</f>
        <v>0.9892014776925262</v>
      </c>
      <c r="W636" s="8"/>
      <c r="X636" s="8"/>
      <c r="Y636" s="31">
        <f t="shared" si="129"/>
        <v>4.99948520008765E-2</v>
      </c>
      <c r="Z636" s="31" t="str">
        <f t="shared" si="130"/>
        <v/>
      </c>
      <c r="AA636" s="31">
        <f t="shared" si="131"/>
        <v>4.99948520008765E-2</v>
      </c>
    </row>
    <row r="637" spans="1:27" x14ac:dyDescent="0.25">
      <c r="A637" s="6" t="str">
        <f t="shared" si="125"/>
        <v>complete</v>
      </c>
      <c r="C637" s="6" t="str">
        <f t="shared" si="126"/>
        <v>HC264 900</v>
      </c>
      <c r="D637" s="6" t="s">
        <v>627</v>
      </c>
      <c r="E637" s="20">
        <v>900</v>
      </c>
      <c r="F637" s="6" t="s">
        <v>180</v>
      </c>
      <c r="G637" s="6" t="s">
        <v>634</v>
      </c>
      <c r="H637" s="6" t="s">
        <v>977</v>
      </c>
      <c r="I637" s="8" t="s">
        <v>20</v>
      </c>
      <c r="J637" s="29">
        <v>37.656739999999999</v>
      </c>
      <c r="K637" s="8">
        <f t="shared" si="127"/>
        <v>1.5758427197886336</v>
      </c>
      <c r="L637" s="8">
        <f t="shared" si="128"/>
        <v>8.2336821414765922</v>
      </c>
      <c r="M637" s="8">
        <v>1.7969999999999999</v>
      </c>
      <c r="N637" s="8">
        <f>0.839+0.678+0.945</f>
        <v>2.4619999999999997</v>
      </c>
      <c r="O637" s="8">
        <v>2.8330000000000002</v>
      </c>
      <c r="P637" s="8">
        <f>0.966+1.27+1.221</f>
        <v>3.4569999999999999</v>
      </c>
      <c r="Q637" s="8"/>
      <c r="R637" s="8"/>
      <c r="S637" s="8"/>
      <c r="T637" s="8"/>
      <c r="U637" s="8">
        <f>N637/M637</f>
        <v>1.3700612131329994</v>
      </c>
      <c r="V637" s="8">
        <f t="shared" si="133"/>
        <v>1.220261207200847</v>
      </c>
      <c r="W637" s="8"/>
      <c r="X637" s="8"/>
      <c r="Y637" s="31">
        <f t="shared" si="129"/>
        <v>-0.11232382890256939</v>
      </c>
      <c r="Z637" s="31" t="str">
        <f t="shared" si="130"/>
        <v/>
      </c>
      <c r="AA637" s="31">
        <f t="shared" si="131"/>
        <v>-0.11232382890256939</v>
      </c>
    </row>
    <row r="638" spans="1:27" x14ac:dyDescent="0.25">
      <c r="A638" s="6" t="str">
        <f t="shared" si="125"/>
        <v>fragment</v>
      </c>
      <c r="C638" s="6" t="str">
        <f t="shared" si="126"/>
        <v>HC268 1489</v>
      </c>
      <c r="D638" s="6" t="s">
        <v>635</v>
      </c>
      <c r="E638" s="20">
        <v>1489</v>
      </c>
      <c r="F638" s="6" t="s">
        <v>90</v>
      </c>
      <c r="G638" s="6" t="s">
        <v>638</v>
      </c>
      <c r="H638" s="6" t="s">
        <v>977</v>
      </c>
      <c r="I638" s="8" t="s">
        <v>20</v>
      </c>
      <c r="J638" s="29"/>
      <c r="K638" s="8" t="str">
        <f t="shared" si="127"/>
        <v/>
      </c>
      <c r="L638" s="8" t="str">
        <f t="shared" si="128"/>
        <v/>
      </c>
      <c r="M638" s="8"/>
      <c r="N638" s="8"/>
      <c r="O638" s="8">
        <v>2.891</v>
      </c>
      <c r="P638" s="8">
        <f>1.716+0.451+1.144</f>
        <v>3.3109999999999999</v>
      </c>
      <c r="Q638" s="8">
        <v>0.86499999999999999</v>
      </c>
      <c r="R638" s="8">
        <f>1.014+0.528</f>
        <v>1.542</v>
      </c>
      <c r="S638" s="8"/>
      <c r="T638" s="8"/>
      <c r="U638" s="8"/>
      <c r="V638" s="8">
        <f t="shared" si="133"/>
        <v>1.1452784503631961</v>
      </c>
      <c r="W638" s="8">
        <f>R638/Q638</f>
        <v>1.7826589595375724</v>
      </c>
      <c r="X638" s="8"/>
      <c r="Y638" s="31">
        <f t="shared" si="129"/>
        <v>-0.16553179297057843</v>
      </c>
      <c r="Z638" s="31">
        <f t="shared" si="130"/>
        <v>-0.16553179297057843</v>
      </c>
      <c r="AA638" s="31" t="str">
        <f t="shared" si="131"/>
        <v/>
      </c>
    </row>
    <row r="639" spans="1:27" x14ac:dyDescent="0.25">
      <c r="A639" s="6" t="str">
        <f t="shared" si="125"/>
        <v>fragment</v>
      </c>
      <c r="C639" s="6" t="str">
        <f t="shared" si="126"/>
        <v>HC268 1489</v>
      </c>
      <c r="D639" s="6" t="s">
        <v>635</v>
      </c>
      <c r="E639" s="20">
        <v>1489</v>
      </c>
      <c r="F639" s="6" t="s">
        <v>90</v>
      </c>
      <c r="G639" s="6" t="s">
        <v>639</v>
      </c>
      <c r="H639" s="6" t="s">
        <v>977</v>
      </c>
      <c r="I639" s="8" t="s">
        <v>20</v>
      </c>
      <c r="J639" s="29"/>
      <c r="K639" s="8" t="str">
        <f t="shared" si="127"/>
        <v/>
      </c>
      <c r="L639" s="8" t="str">
        <f t="shared" si="128"/>
        <v/>
      </c>
      <c r="M639" s="8"/>
      <c r="N639" s="8"/>
      <c r="O639" s="8">
        <v>1.647</v>
      </c>
      <c r="P639" s="8">
        <f>1.385+0.871</f>
        <v>2.2560000000000002</v>
      </c>
      <c r="Q639" s="8"/>
      <c r="R639" s="8"/>
      <c r="S639" s="8"/>
      <c r="T639" s="8"/>
      <c r="U639" s="8"/>
      <c r="V639" s="8">
        <f t="shared" si="133"/>
        <v>1.3697632058287796</v>
      </c>
      <c r="W639" s="8"/>
      <c r="X639" s="8"/>
      <c r="Y639" s="31">
        <f t="shared" si="129"/>
        <v>-0.13664549614155036</v>
      </c>
      <c r="Z639" s="31">
        <f t="shared" si="130"/>
        <v>-0.13664549614155036</v>
      </c>
      <c r="AA639" s="31" t="str">
        <f t="shared" si="131"/>
        <v/>
      </c>
    </row>
    <row r="640" spans="1:27" x14ac:dyDescent="0.25">
      <c r="A640" s="6" t="str">
        <f t="shared" si="125"/>
        <v>complete</v>
      </c>
      <c r="C640" s="6" t="str">
        <f t="shared" si="126"/>
        <v>HC268 1489</v>
      </c>
      <c r="D640" s="6" t="s">
        <v>635</v>
      </c>
      <c r="E640" s="20">
        <v>1489</v>
      </c>
      <c r="F640" s="6" t="s">
        <v>90</v>
      </c>
      <c r="G640" s="6" t="s">
        <v>640</v>
      </c>
      <c r="H640" s="6" t="s">
        <v>977</v>
      </c>
      <c r="I640" s="8" t="s">
        <v>20</v>
      </c>
      <c r="J640" s="29">
        <v>25.495000000000001</v>
      </c>
      <c r="K640" s="8">
        <f t="shared" si="127"/>
        <v>1.4064550163034923</v>
      </c>
      <c r="L640" s="8">
        <f t="shared" si="128"/>
        <v>7.84365254049521</v>
      </c>
      <c r="M640" s="8"/>
      <c r="N640" s="8"/>
      <c r="O640" s="8">
        <v>1.913</v>
      </c>
      <c r="P640" s="8">
        <f>1.249+1.079</f>
        <v>2.3280000000000003</v>
      </c>
      <c r="Q640" s="8"/>
      <c r="R640" s="8"/>
      <c r="S640" s="8">
        <v>4.9889999999999999</v>
      </c>
      <c r="T640" s="8">
        <f>1.545+2.283+0.989</f>
        <v>4.8170000000000002</v>
      </c>
      <c r="U640" s="8"/>
      <c r="V640" s="8">
        <f t="shared" si="133"/>
        <v>1.2169367485624674</v>
      </c>
      <c r="W640" s="8"/>
      <c r="X640" s="8">
        <f>T640/S640</f>
        <v>0.96552415313690121</v>
      </c>
      <c r="Y640" s="31">
        <f t="shared" si="129"/>
        <v>-3.7916476494467735E-2</v>
      </c>
      <c r="Z640" s="31" t="str">
        <f t="shared" si="130"/>
        <v/>
      </c>
      <c r="AA640" s="31">
        <f t="shared" si="131"/>
        <v>-3.7916476494467735E-2</v>
      </c>
    </row>
    <row r="641" spans="1:27" x14ac:dyDescent="0.25">
      <c r="A641" s="6" t="str">
        <f t="shared" si="125"/>
        <v>complete</v>
      </c>
      <c r="C641" s="6" t="str">
        <f t="shared" si="126"/>
        <v>HC268 1489</v>
      </c>
      <c r="D641" s="6" t="s">
        <v>635</v>
      </c>
      <c r="E641" s="20">
        <v>1489</v>
      </c>
      <c r="F641" s="6" t="s">
        <v>90</v>
      </c>
      <c r="G641" s="6" t="s">
        <v>636</v>
      </c>
      <c r="H641" s="6" t="s">
        <v>977</v>
      </c>
      <c r="I641" s="8" t="s">
        <v>20</v>
      </c>
      <c r="J641" s="29">
        <v>15.09498</v>
      </c>
      <c r="K641" s="8">
        <f t="shared" si="127"/>
        <v>1.1788325419437211</v>
      </c>
      <c r="L641" s="8">
        <f t="shared" si="128"/>
        <v>7.3195324242039819</v>
      </c>
      <c r="M641" s="8"/>
      <c r="N641" s="8"/>
      <c r="O641" s="8">
        <v>2.6259999999999999</v>
      </c>
      <c r="P641" s="8">
        <f>1.587 + 1.43</f>
        <v>3.0169999999999999</v>
      </c>
      <c r="Q641" s="8">
        <v>1.222</v>
      </c>
      <c r="R641" s="8">
        <f>0.93+1.107</f>
        <v>2.0369999999999999</v>
      </c>
      <c r="S641" s="8">
        <v>3.2349999999999999</v>
      </c>
      <c r="T641" s="8">
        <f>1.008+2.429+1.051+0.402</f>
        <v>4.8899999999999997</v>
      </c>
      <c r="U641" s="8"/>
      <c r="V641" s="8">
        <f t="shared" si="133"/>
        <v>1.148895658796649</v>
      </c>
      <c r="W641" s="8">
        <f>R641/Q641</f>
        <v>1.6669394435351881</v>
      </c>
      <c r="X641" s="8">
        <f>T641/S641</f>
        <v>1.5115919629057186</v>
      </c>
      <c r="Y641" s="31">
        <f t="shared" si="129"/>
        <v>-0.15910850225947451</v>
      </c>
      <c r="Z641" s="31" t="str">
        <f t="shared" si="130"/>
        <v/>
      </c>
      <c r="AA641" s="31">
        <f t="shared" si="131"/>
        <v>-0.15910850225947451</v>
      </c>
    </row>
    <row r="642" spans="1:27" x14ac:dyDescent="0.25">
      <c r="A642" s="6" t="str">
        <f t="shared" ref="A642:A705" si="134">IF(J642&gt;0,"complete","fragment")</f>
        <v>complete</v>
      </c>
      <c r="C642" s="6" t="str">
        <f t="shared" ref="C642:C705" si="135">D642&amp;" "&amp;E642</f>
        <v>HC268 1489</v>
      </c>
      <c r="D642" s="6" t="s">
        <v>635</v>
      </c>
      <c r="E642" s="20">
        <v>1489</v>
      </c>
      <c r="F642" s="6" t="s">
        <v>90</v>
      </c>
      <c r="G642" s="6" t="s">
        <v>637</v>
      </c>
      <c r="H642" s="6" t="s">
        <v>977</v>
      </c>
      <c r="I642" s="8" t="s">
        <v>20</v>
      </c>
      <c r="J642" s="29">
        <v>14.617039999999999</v>
      </c>
      <c r="K642" s="8">
        <f t="shared" ref="K642:K705" si="136">IF(J642&gt;0,LOG(J642),"")</f>
        <v>1.1648594354249964</v>
      </c>
      <c r="L642" s="8">
        <f t="shared" ref="L642:L705" si="137">IF(J642&gt;0,LN(J642*100),"")</f>
        <v>7.2873581574311483</v>
      </c>
      <c r="M642" s="8"/>
      <c r="N642" s="8"/>
      <c r="O642" s="8"/>
      <c r="P642" s="8"/>
      <c r="Q642" s="8"/>
      <c r="R642" s="8"/>
      <c r="S642" s="8">
        <v>1.278</v>
      </c>
      <c r="T642" s="8">
        <f>0.663+1.18</f>
        <v>1.843</v>
      </c>
      <c r="U642" s="8"/>
      <c r="V642" s="8"/>
      <c r="W642" s="8"/>
      <c r="X642" s="8">
        <f>T642/S642</f>
        <v>1.4420970266040689</v>
      </c>
      <c r="Y642" s="31">
        <f t="shared" ref="Y642:Y705" si="138">IF(COUNT(U642:X642)&gt;0,LOG(1/AVERAGE(U642:X642)),"")</f>
        <v>-0.15899448139669248</v>
      </c>
      <c r="Z642" s="31" t="str">
        <f t="shared" ref="Z642:Z705" si="139">IF(A642="fragment",IF(ISNUMBER(Y642)=TRUE,Y642,""),"")</f>
        <v/>
      </c>
      <c r="AA642" s="31">
        <f t="shared" ref="AA642:AA705" si="140">IF(A642="complete",IF(ISNUMBER(Y642)=TRUE,Y642,""),"")</f>
        <v>-0.15899448139669248</v>
      </c>
    </row>
    <row r="643" spans="1:27" x14ac:dyDescent="0.25">
      <c r="A643" s="6" t="str">
        <f t="shared" si="134"/>
        <v>complete</v>
      </c>
      <c r="C643" s="6" t="str">
        <f t="shared" si="135"/>
        <v>HC268 1489</v>
      </c>
      <c r="D643" s="6" t="s">
        <v>635</v>
      </c>
      <c r="E643" s="20">
        <v>1489</v>
      </c>
      <c r="F643" s="6" t="s">
        <v>90</v>
      </c>
      <c r="G643" s="6" t="s">
        <v>641</v>
      </c>
      <c r="H643" s="6" t="s">
        <v>977</v>
      </c>
      <c r="I643" s="8" t="s">
        <v>20</v>
      </c>
      <c r="J643" s="29">
        <v>17.504180000000002</v>
      </c>
      <c r="K643" s="8">
        <f t="shared" si="136"/>
        <v>1.243141770638529</v>
      </c>
      <c r="L643" s="8">
        <f t="shared" si="137"/>
        <v>7.4676098955385912</v>
      </c>
      <c r="M643" s="8"/>
      <c r="N643" s="8"/>
      <c r="O643" s="8"/>
      <c r="P643" s="8"/>
      <c r="Q643" s="8"/>
      <c r="R643" s="8"/>
      <c r="S643" s="8">
        <v>2.085</v>
      </c>
      <c r="T643" s="8">
        <f>0.71+1.597+1.481</f>
        <v>3.7880000000000003</v>
      </c>
      <c r="U643" s="8"/>
      <c r="V643" s="8"/>
      <c r="W643" s="8"/>
      <c r="X643" s="8">
        <f>T643/S643</f>
        <v>1.8167865707434054</v>
      </c>
      <c r="Y643" s="31">
        <f t="shared" si="138"/>
        <v>-0.2593039110214595</v>
      </c>
      <c r="Z643" s="31" t="str">
        <f t="shared" si="139"/>
        <v/>
      </c>
      <c r="AA643" s="31">
        <f t="shared" si="140"/>
        <v>-0.2593039110214595</v>
      </c>
    </row>
    <row r="644" spans="1:27" x14ac:dyDescent="0.25">
      <c r="A644" s="6" t="str">
        <f t="shared" si="134"/>
        <v>complete</v>
      </c>
      <c r="C644" s="6" t="str">
        <f t="shared" si="135"/>
        <v>HC268 1489</v>
      </c>
      <c r="D644" s="6" t="s">
        <v>635</v>
      </c>
      <c r="E644" s="20">
        <v>1489</v>
      </c>
      <c r="F644" s="6" t="s">
        <v>90</v>
      </c>
      <c r="G644" s="6" t="s">
        <v>642</v>
      </c>
      <c r="H644" s="6" t="s">
        <v>977</v>
      </c>
      <c r="I644" s="8" t="s">
        <v>20</v>
      </c>
      <c r="J644" s="29">
        <v>11.74112</v>
      </c>
      <c r="K644" s="8">
        <f t="shared" si="136"/>
        <v>1.0697095267769599</v>
      </c>
      <c r="L644" s="8">
        <f t="shared" si="137"/>
        <v>7.0682673961784346</v>
      </c>
      <c r="M644" s="8"/>
      <c r="N644" s="8"/>
      <c r="O644" s="8">
        <v>1.36</v>
      </c>
      <c r="P644" s="8">
        <f>0.678+1.472</f>
        <v>2.15</v>
      </c>
      <c r="Q644" s="8">
        <v>0.629</v>
      </c>
      <c r="R644" s="8">
        <f>0.512+0.853</f>
        <v>1.365</v>
      </c>
      <c r="S644" s="8"/>
      <c r="T644" s="8"/>
      <c r="U644" s="8"/>
      <c r="V644" s="8">
        <f t="shared" ref="V644:V650" si="141">P644/O644</f>
        <v>1.5808823529411762</v>
      </c>
      <c r="W644" s="8">
        <f>R644/Q644</f>
        <v>2.1701112877583464</v>
      </c>
      <c r="X644" s="8"/>
      <c r="Y644" s="31">
        <f t="shared" si="138"/>
        <v>-0.27311633220003212</v>
      </c>
      <c r="Z644" s="31" t="str">
        <f t="shared" si="139"/>
        <v/>
      </c>
      <c r="AA644" s="31">
        <f t="shared" si="140"/>
        <v>-0.27311633220003212</v>
      </c>
    </row>
    <row r="645" spans="1:27" x14ac:dyDescent="0.25">
      <c r="A645" s="6" t="str">
        <f t="shared" si="134"/>
        <v>complete</v>
      </c>
      <c r="C645" s="6" t="str">
        <f t="shared" si="135"/>
        <v>HC280 428</v>
      </c>
      <c r="D645" s="6" t="s">
        <v>643</v>
      </c>
      <c r="E645" s="20">
        <v>428</v>
      </c>
      <c r="F645" s="6" t="s">
        <v>154</v>
      </c>
      <c r="G645" s="6" t="s">
        <v>645</v>
      </c>
      <c r="H645" s="6" t="s">
        <v>979</v>
      </c>
      <c r="I645" s="6" t="s">
        <v>20</v>
      </c>
      <c r="J645" s="29">
        <f>48.716*2</f>
        <v>97.432000000000002</v>
      </c>
      <c r="K645" s="8">
        <f t="shared" si="136"/>
        <v>1.9887016174635901</v>
      </c>
      <c r="L645" s="8">
        <f t="shared" si="137"/>
        <v>9.1843248847729004</v>
      </c>
      <c r="M645" s="8">
        <v>6.0419999999999998</v>
      </c>
      <c r="N645" s="8">
        <f>1.459+1.969+0.966</f>
        <v>4.3940000000000001</v>
      </c>
      <c r="O645" s="8">
        <v>16.895</v>
      </c>
      <c r="P645" s="8">
        <f>0.859+3.685+3.254+3.546+0.518+1.512+0.83</f>
        <v>14.204000000000001</v>
      </c>
      <c r="Q645" s="8">
        <v>3.621</v>
      </c>
      <c r="R645" s="8">
        <f>1.722+1.126</f>
        <v>2.8479999999999999</v>
      </c>
      <c r="S645" s="8"/>
      <c r="T645" s="8"/>
      <c r="U645" s="8">
        <f>N645/M645</f>
        <v>0.72724263488910956</v>
      </c>
      <c r="V645" s="8">
        <f t="shared" si="141"/>
        <v>0.84072210713228768</v>
      </c>
      <c r="W645" s="8">
        <f>R645/Q645</f>
        <v>0.7865230599281966</v>
      </c>
      <c r="X645" s="8"/>
      <c r="Y645" s="31">
        <f t="shared" si="138"/>
        <v>0.10522480991318872</v>
      </c>
      <c r="Z645" s="31" t="str">
        <f t="shared" si="139"/>
        <v/>
      </c>
      <c r="AA645" s="31">
        <f t="shared" si="140"/>
        <v>0.10522480991318872</v>
      </c>
    </row>
    <row r="646" spans="1:27" x14ac:dyDescent="0.25">
      <c r="A646" s="6" t="str">
        <f t="shared" si="134"/>
        <v>fragment</v>
      </c>
      <c r="C646" s="6" t="str">
        <f t="shared" si="135"/>
        <v>HC280 428</v>
      </c>
      <c r="D646" s="6" t="s">
        <v>643</v>
      </c>
      <c r="E646" s="20">
        <v>428</v>
      </c>
      <c r="F646" s="6" t="s">
        <v>154</v>
      </c>
      <c r="G646" s="6" t="s">
        <v>646</v>
      </c>
      <c r="H646" s="6" t="s">
        <v>979</v>
      </c>
      <c r="I646" s="6" t="s">
        <v>20</v>
      </c>
      <c r="J646" s="29"/>
      <c r="K646" s="8" t="str">
        <f t="shared" si="136"/>
        <v/>
      </c>
      <c r="L646" s="8" t="str">
        <f t="shared" si="137"/>
        <v/>
      </c>
      <c r="M646" s="8">
        <v>5.0019999999999998</v>
      </c>
      <c r="N646" s="8">
        <f>0.562+1.654+2.096+1.195</f>
        <v>5.5070000000000006</v>
      </c>
      <c r="O646" s="8">
        <v>2.8479999999999999</v>
      </c>
      <c r="P646" s="8">
        <f>1.254+1.616+0.55</f>
        <v>3.42</v>
      </c>
      <c r="Q646" s="8"/>
      <c r="R646" s="8"/>
      <c r="S646" s="8"/>
      <c r="T646" s="8"/>
      <c r="U646" s="8">
        <f>N646/M646</f>
        <v>1.1009596161535387</v>
      </c>
      <c r="V646" s="8">
        <f t="shared" si="141"/>
        <v>1.2008426966292136</v>
      </c>
      <c r="W646" s="8"/>
      <c r="X646" s="8"/>
      <c r="Y646" s="31">
        <f t="shared" si="138"/>
        <v>-6.1038026429862939E-2</v>
      </c>
      <c r="Z646" s="31">
        <f t="shared" si="139"/>
        <v>-6.1038026429862939E-2</v>
      </c>
      <c r="AA646" s="31" t="str">
        <f t="shared" si="140"/>
        <v/>
      </c>
    </row>
    <row r="647" spans="1:27" x14ac:dyDescent="0.25">
      <c r="A647" s="6" t="str">
        <f t="shared" si="134"/>
        <v>fragment</v>
      </c>
      <c r="C647" s="6" t="str">
        <f t="shared" si="135"/>
        <v>HC280 428</v>
      </c>
      <c r="D647" s="6" t="s">
        <v>643</v>
      </c>
      <c r="E647" s="20">
        <v>428</v>
      </c>
      <c r="F647" s="6" t="s">
        <v>154</v>
      </c>
      <c r="G647" s="6" t="s">
        <v>647</v>
      </c>
      <c r="H647" s="6" t="s">
        <v>979</v>
      </c>
      <c r="I647" s="6" t="s">
        <v>20</v>
      </c>
      <c r="J647" s="29"/>
      <c r="K647" s="8" t="str">
        <f t="shared" si="136"/>
        <v/>
      </c>
      <c r="L647" s="8" t="str">
        <f t="shared" si="137"/>
        <v/>
      </c>
      <c r="M647" s="8"/>
      <c r="N647" s="8"/>
      <c r="O647" s="8">
        <v>16.024999999999999</v>
      </c>
      <c r="P647" s="8">
        <f>1.432+4.339+0.273+3.382+0.261+2.891+1.174</f>
        <v>13.751999999999999</v>
      </c>
      <c r="Q647" s="8"/>
      <c r="R647" s="8"/>
      <c r="S647" s="8">
        <v>14.714</v>
      </c>
      <c r="T647" s="8">
        <f>1.789+3.282+3.358+2.972+1.907</f>
        <v>13.308</v>
      </c>
      <c r="U647" s="8"/>
      <c r="V647" s="8">
        <f t="shared" si="141"/>
        <v>0.85815912636505465</v>
      </c>
      <c r="W647" s="8"/>
      <c r="X647" s="8">
        <f>T647/S647</f>
        <v>0.90444474649993201</v>
      </c>
      <c r="Y647" s="31">
        <f t="shared" si="138"/>
        <v>5.4875275627316054E-2</v>
      </c>
      <c r="Z647" s="31">
        <f t="shared" si="139"/>
        <v>5.4875275627316054E-2</v>
      </c>
      <c r="AA647" s="31" t="str">
        <f t="shared" si="140"/>
        <v/>
      </c>
    </row>
    <row r="648" spans="1:27" x14ac:dyDescent="0.25">
      <c r="A648" s="6" t="str">
        <f t="shared" si="134"/>
        <v>fragment</v>
      </c>
      <c r="C648" s="6" t="str">
        <f t="shared" si="135"/>
        <v>HC280 428</v>
      </c>
      <c r="D648" s="6" t="s">
        <v>643</v>
      </c>
      <c r="E648" s="20">
        <v>428</v>
      </c>
      <c r="F648" s="6" t="s">
        <v>154</v>
      </c>
      <c r="G648" s="6" t="s">
        <v>648</v>
      </c>
      <c r="H648" s="6" t="s">
        <v>979</v>
      </c>
      <c r="I648" s="6" t="s">
        <v>20</v>
      </c>
      <c r="J648" s="29"/>
      <c r="K648" s="8" t="str">
        <f t="shared" si="136"/>
        <v/>
      </c>
      <c r="L648" s="8" t="str">
        <f t="shared" si="137"/>
        <v/>
      </c>
      <c r="M648" s="8"/>
      <c r="N648" s="8"/>
      <c r="O648" s="8">
        <v>6.9249999999999998</v>
      </c>
      <c r="P648" s="8">
        <f>1.518+1.987+1.987+0.951</f>
        <v>6.4429999999999996</v>
      </c>
      <c r="Q648" s="8">
        <v>1.9870000000000001</v>
      </c>
      <c r="R648" s="8">
        <f>0.753+1.011+0.731</f>
        <v>2.4949999999999997</v>
      </c>
      <c r="S648" s="8"/>
      <c r="T648" s="8"/>
      <c r="U648" s="8"/>
      <c r="V648" s="8">
        <f t="shared" si="141"/>
        <v>0.93039711191335739</v>
      </c>
      <c r="W648" s="8">
        <f>R648/Q648</f>
        <v>1.2556618017111221</v>
      </c>
      <c r="X648" s="8"/>
      <c r="Y648" s="31">
        <f t="shared" si="138"/>
        <v>-3.8631866211940459E-2</v>
      </c>
      <c r="Z648" s="31">
        <f t="shared" si="139"/>
        <v>-3.8631866211940459E-2</v>
      </c>
      <c r="AA648" s="31" t="str">
        <f t="shared" si="140"/>
        <v/>
      </c>
    </row>
    <row r="649" spans="1:27" x14ac:dyDescent="0.25">
      <c r="A649" s="6" t="str">
        <f t="shared" si="134"/>
        <v>fragment</v>
      </c>
      <c r="C649" s="6" t="str">
        <f t="shared" si="135"/>
        <v>HC280 428</v>
      </c>
      <c r="D649" s="6" t="s">
        <v>643</v>
      </c>
      <c r="E649" s="20">
        <v>428</v>
      </c>
      <c r="F649" s="6" t="s">
        <v>154</v>
      </c>
      <c r="G649" s="6" t="s">
        <v>649</v>
      </c>
      <c r="H649" s="6" t="s">
        <v>979</v>
      </c>
      <c r="I649" s="6" t="s">
        <v>20</v>
      </c>
      <c r="J649" s="29"/>
      <c r="K649" s="8" t="str">
        <f t="shared" si="136"/>
        <v/>
      </c>
      <c r="L649" s="8" t="str">
        <f t="shared" si="137"/>
        <v/>
      </c>
      <c r="M649" s="8"/>
      <c r="N649" s="8"/>
      <c r="O649" s="8">
        <v>14.912000000000001</v>
      </c>
      <c r="P649" s="8">
        <f>2.219+3.398+2.87+2.409</f>
        <v>10.896000000000001</v>
      </c>
      <c r="Q649" s="8"/>
      <c r="R649" s="8"/>
      <c r="S649" s="8"/>
      <c r="T649" s="8"/>
      <c r="U649" s="8"/>
      <c r="V649" s="8">
        <f t="shared" si="141"/>
        <v>0.73068669527897001</v>
      </c>
      <c r="W649" s="8"/>
      <c r="X649" s="8"/>
      <c r="Y649" s="31">
        <f t="shared" si="138"/>
        <v>0.13626880044119619</v>
      </c>
      <c r="Z649" s="31">
        <f t="shared" si="139"/>
        <v>0.13626880044119619</v>
      </c>
      <c r="AA649" s="31" t="str">
        <f t="shared" si="140"/>
        <v/>
      </c>
    </row>
    <row r="650" spans="1:27" x14ac:dyDescent="0.25">
      <c r="A650" s="6" t="str">
        <f t="shared" si="134"/>
        <v>complete</v>
      </c>
      <c r="C650" s="6" t="str">
        <f t="shared" si="135"/>
        <v>HC280 428</v>
      </c>
      <c r="D650" s="6" t="s">
        <v>643</v>
      </c>
      <c r="E650" s="20">
        <v>428</v>
      </c>
      <c r="F650" s="6" t="s">
        <v>154</v>
      </c>
      <c r="G650" s="6" t="s">
        <v>650</v>
      </c>
      <c r="H650" s="6" t="s">
        <v>979</v>
      </c>
      <c r="I650" s="6" t="s">
        <v>20</v>
      </c>
      <c r="J650" s="29">
        <f>56.191*2</f>
        <v>112.38200000000001</v>
      </c>
      <c r="K650" s="8">
        <f t="shared" si="136"/>
        <v>2.0506967567251992</v>
      </c>
      <c r="L650" s="8">
        <f t="shared" si="137"/>
        <v>9.3270739682747728</v>
      </c>
      <c r="M650" s="8"/>
      <c r="N650" s="8"/>
      <c r="O650" s="8">
        <v>20.369</v>
      </c>
      <c r="P650" s="8">
        <f>1.124+3.459+3.912+2.904+2.605+1.635</f>
        <v>15.639000000000001</v>
      </c>
      <c r="Q650" s="8"/>
      <c r="R650" s="8"/>
      <c r="S650" s="8"/>
      <c r="T650" s="8"/>
      <c r="U650" s="8"/>
      <c r="V650" s="8">
        <f t="shared" si="141"/>
        <v>0.76778437822180767</v>
      </c>
      <c r="W650" s="8"/>
      <c r="X650" s="8"/>
      <c r="Y650" s="31">
        <f t="shared" si="138"/>
        <v>0.11476072853156792</v>
      </c>
      <c r="Z650" s="31" t="str">
        <f t="shared" si="139"/>
        <v/>
      </c>
      <c r="AA650" s="31">
        <f t="shared" si="140"/>
        <v>0.11476072853156792</v>
      </c>
    </row>
    <row r="651" spans="1:27" x14ac:dyDescent="0.25">
      <c r="A651" s="6" t="str">
        <f t="shared" si="134"/>
        <v>fragment</v>
      </c>
      <c r="C651" s="6" t="str">
        <f t="shared" si="135"/>
        <v>HC280 428</v>
      </c>
      <c r="D651" s="6" t="s">
        <v>643</v>
      </c>
      <c r="E651" s="20">
        <v>428</v>
      </c>
      <c r="F651" s="6" t="s">
        <v>154</v>
      </c>
      <c r="G651" s="6" t="s">
        <v>651</v>
      </c>
      <c r="H651" s="6" t="s">
        <v>979</v>
      </c>
      <c r="I651" s="6" t="s">
        <v>20</v>
      </c>
      <c r="J651" s="29"/>
      <c r="K651" s="8" t="str">
        <f t="shared" si="136"/>
        <v/>
      </c>
      <c r="L651" s="8" t="str">
        <f t="shared" si="137"/>
        <v/>
      </c>
      <c r="M651" s="8"/>
      <c r="N651" s="8"/>
      <c r="O651" s="8"/>
      <c r="P651" s="8"/>
      <c r="Q651" s="8">
        <v>3.2890000000000001</v>
      </c>
      <c r="R651" s="8">
        <f>0.82+1.098+1.369+0.63</f>
        <v>3.9169999999999998</v>
      </c>
      <c r="S651" s="8">
        <v>1.863</v>
      </c>
      <c r="T651" s="8">
        <f>0.985+1.126</f>
        <v>2.1109999999999998</v>
      </c>
      <c r="U651" s="8"/>
      <c r="V651" s="8"/>
      <c r="W651" s="8">
        <f>R651/Q651</f>
        <v>1.1909394952873213</v>
      </c>
      <c r="X651" s="8">
        <f>T651/S651</f>
        <v>1.133118625872249</v>
      </c>
      <c r="Y651" s="31">
        <f t="shared" si="138"/>
        <v>-6.5216989234713113E-2</v>
      </c>
      <c r="Z651" s="31">
        <f t="shared" si="139"/>
        <v>-6.5216989234713113E-2</v>
      </c>
      <c r="AA651" s="31" t="str">
        <f t="shared" si="140"/>
        <v/>
      </c>
    </row>
    <row r="652" spans="1:27" x14ac:dyDescent="0.25">
      <c r="A652" s="6" t="str">
        <f t="shared" si="134"/>
        <v>complete</v>
      </c>
      <c r="C652" s="6" t="str">
        <f t="shared" si="135"/>
        <v>HC280 428</v>
      </c>
      <c r="D652" s="6" t="s">
        <v>643</v>
      </c>
      <c r="E652" s="20">
        <v>428</v>
      </c>
      <c r="F652" s="6" t="s">
        <v>154</v>
      </c>
      <c r="G652" s="6" t="s">
        <v>652</v>
      </c>
      <c r="H652" s="6" t="s">
        <v>979</v>
      </c>
      <c r="I652" s="6" t="s">
        <v>20</v>
      </c>
      <c r="J652" s="29">
        <f>47.284*2</f>
        <v>94.567999999999998</v>
      </c>
      <c r="K652" s="8">
        <f t="shared" si="136"/>
        <v>1.9757442043249778</v>
      </c>
      <c r="L652" s="8">
        <f t="shared" si="137"/>
        <v>9.1544893384361679</v>
      </c>
      <c r="M652" s="8"/>
      <c r="N652" s="8"/>
      <c r="O652" s="8">
        <v>16.829000000000001</v>
      </c>
      <c r="P652" s="8">
        <f>1.031+2.985+3.511+2.879+2.353</f>
        <v>12.759</v>
      </c>
      <c r="Q652" s="8"/>
      <c r="R652" s="8"/>
      <c r="S652" s="8"/>
      <c r="T652" s="8"/>
      <c r="U652" s="8"/>
      <c r="V652" s="8">
        <f>P652/O652</f>
        <v>0.75815556479885915</v>
      </c>
      <c r="W652" s="8"/>
      <c r="X652" s="8"/>
      <c r="Y652" s="31">
        <f t="shared" si="138"/>
        <v>0.12024167299342714</v>
      </c>
      <c r="Z652" s="31" t="str">
        <f t="shared" si="139"/>
        <v/>
      </c>
      <c r="AA652" s="31">
        <f t="shared" si="140"/>
        <v>0.12024167299342714</v>
      </c>
    </row>
    <row r="653" spans="1:27" x14ac:dyDescent="0.25">
      <c r="A653" s="6" t="str">
        <f t="shared" si="134"/>
        <v>fragment</v>
      </c>
      <c r="C653" s="6" t="str">
        <f t="shared" si="135"/>
        <v>HC280 428</v>
      </c>
      <c r="D653" s="6" t="s">
        <v>643</v>
      </c>
      <c r="E653" s="20">
        <v>428</v>
      </c>
      <c r="F653" s="6" t="s">
        <v>154</v>
      </c>
      <c r="G653" s="6" t="s">
        <v>653</v>
      </c>
      <c r="H653" s="6" t="s">
        <v>979</v>
      </c>
      <c r="I653" s="6" t="s">
        <v>20</v>
      </c>
      <c r="J653" s="29"/>
      <c r="K653" s="8" t="str">
        <f t="shared" si="136"/>
        <v/>
      </c>
      <c r="L653" s="8" t="str">
        <f t="shared" si="137"/>
        <v/>
      </c>
      <c r="M653" s="8">
        <v>3.7570000000000001</v>
      </c>
      <c r="N653" s="8">
        <f>1.913+1.804</f>
        <v>3.7170000000000001</v>
      </c>
      <c r="O653" s="8">
        <v>8.9779999999999998</v>
      </c>
      <c r="P653" s="8">
        <f>0.984+3.182+2.714+2.294+1.05</f>
        <v>10.224000000000002</v>
      </c>
      <c r="Q653" s="8">
        <v>3.6859999999999999</v>
      </c>
      <c r="R653" s="8">
        <f>0.822+1.383+1.367+0.886</f>
        <v>4.4580000000000002</v>
      </c>
      <c r="S653" s="8"/>
      <c r="T653" s="8"/>
      <c r="U653" s="8">
        <f>N653/M653</f>
        <v>0.98935320734628696</v>
      </c>
      <c r="V653" s="8">
        <f>P653/O653</f>
        <v>1.1387836934729341</v>
      </c>
      <c r="W653" s="8">
        <f>R653/Q653</f>
        <v>1.2094411285946827</v>
      </c>
      <c r="X653" s="8"/>
      <c r="Y653" s="31">
        <f t="shared" si="138"/>
        <v>-4.6310173165403562E-2</v>
      </c>
      <c r="Z653" s="31">
        <f t="shared" si="139"/>
        <v>-4.6310173165403562E-2</v>
      </c>
      <c r="AA653" s="31" t="str">
        <f t="shared" si="140"/>
        <v/>
      </c>
    </row>
    <row r="654" spans="1:27" x14ac:dyDescent="0.25">
      <c r="A654" s="6" t="str">
        <f t="shared" si="134"/>
        <v>fragment</v>
      </c>
      <c r="C654" s="6" t="str">
        <f t="shared" si="135"/>
        <v>HC280 428</v>
      </c>
      <c r="D654" s="6" t="s">
        <v>643</v>
      </c>
      <c r="E654" s="20">
        <v>428</v>
      </c>
      <c r="F654" s="6" t="s">
        <v>154</v>
      </c>
      <c r="G654" s="6" t="s">
        <v>654</v>
      </c>
      <c r="H654" s="6" t="s">
        <v>979</v>
      </c>
      <c r="I654" s="6" t="s">
        <v>20</v>
      </c>
      <c r="J654" s="29"/>
      <c r="K654" s="8" t="str">
        <f t="shared" si="136"/>
        <v/>
      </c>
      <c r="L654" s="8" t="str">
        <f t="shared" si="137"/>
        <v/>
      </c>
      <c r="M654" s="8">
        <v>8.7430000000000003</v>
      </c>
      <c r="N654" s="8">
        <f>2.675+1.604</f>
        <v>4.2789999999999999</v>
      </c>
      <c r="O654" s="8">
        <v>16.303999999999998</v>
      </c>
      <c r="P654" s="8">
        <f>1.167+3.801+3.426+1.177</f>
        <v>9.5709999999999997</v>
      </c>
      <c r="Q654" s="8">
        <v>16.666</v>
      </c>
      <c r="R654" s="8">
        <f>3.04+2.75+2.517+2.319</f>
        <v>10.626000000000001</v>
      </c>
      <c r="S654" s="8"/>
      <c r="T654" s="8"/>
      <c r="U654" s="8">
        <f>N654/M654</f>
        <v>0.48942010751458309</v>
      </c>
      <c r="V654" s="8">
        <f>P654/O654</f>
        <v>0.58703385672227681</v>
      </c>
      <c r="W654" s="8">
        <f>R654/Q654</f>
        <v>0.63758550342013687</v>
      </c>
      <c r="X654" s="8"/>
      <c r="Y654" s="31">
        <f t="shared" si="138"/>
        <v>0.24310043690593389</v>
      </c>
      <c r="Z654" s="31">
        <f t="shared" si="139"/>
        <v>0.24310043690593389</v>
      </c>
      <c r="AA654" s="31" t="str">
        <f t="shared" si="140"/>
        <v/>
      </c>
    </row>
    <row r="655" spans="1:27" x14ac:dyDescent="0.25">
      <c r="A655" s="6" t="str">
        <f t="shared" si="134"/>
        <v>complete</v>
      </c>
      <c r="C655" s="6" t="str">
        <f t="shared" si="135"/>
        <v>HC280 428</v>
      </c>
      <c r="D655" s="6" t="s">
        <v>643</v>
      </c>
      <c r="E655" s="20">
        <v>428</v>
      </c>
      <c r="F655" s="6" t="s">
        <v>154</v>
      </c>
      <c r="G655" s="6" t="s">
        <v>655</v>
      </c>
      <c r="H655" s="6" t="s">
        <v>979</v>
      </c>
      <c r="I655" s="6" t="s">
        <v>20</v>
      </c>
      <c r="J655" s="29">
        <v>58.210999999999999</v>
      </c>
      <c r="K655" s="8">
        <f t="shared" si="136"/>
        <v>1.7650050600433678</v>
      </c>
      <c r="L655" s="8">
        <f t="shared" si="137"/>
        <v>8.6692445263030109</v>
      </c>
      <c r="M655" s="8"/>
      <c r="N655" s="8"/>
      <c r="O655" s="8">
        <v>13.824999999999999</v>
      </c>
      <c r="P655" s="8">
        <f>1.004+0.401+2.89+0.089+3.48+0.886+0.156+3.374+0.739</f>
        <v>13.019000000000002</v>
      </c>
      <c r="Q655" s="8"/>
      <c r="R655" s="8"/>
      <c r="S655" s="8">
        <v>9.4909999999999997</v>
      </c>
      <c r="T655" s="8">
        <f>1.354+2.35+3.218+0.911</f>
        <v>7.8330000000000002</v>
      </c>
      <c r="U655" s="8"/>
      <c r="V655" s="8">
        <f>P655/O655</f>
        <v>0.9416998191681738</v>
      </c>
      <c r="W655" s="8"/>
      <c r="X655" s="8">
        <f>T655/S655</f>
        <v>0.8253081867031925</v>
      </c>
      <c r="Y655" s="31">
        <f t="shared" si="138"/>
        <v>5.3791478473074167E-2</v>
      </c>
      <c r="Z655" s="31" t="str">
        <f t="shared" si="139"/>
        <v/>
      </c>
      <c r="AA655" s="31">
        <f t="shared" si="140"/>
        <v>5.3791478473074167E-2</v>
      </c>
    </row>
    <row r="656" spans="1:27" x14ac:dyDescent="0.25">
      <c r="A656" s="6" t="str">
        <f t="shared" si="134"/>
        <v>fragment</v>
      </c>
      <c r="C656" s="6" t="str">
        <f t="shared" si="135"/>
        <v>HC280 428</v>
      </c>
      <c r="D656" s="6" t="s">
        <v>643</v>
      </c>
      <c r="E656" s="20">
        <v>428</v>
      </c>
      <c r="F656" s="6" t="s">
        <v>154</v>
      </c>
      <c r="G656" s="6" t="s">
        <v>656</v>
      </c>
      <c r="H656" s="6" t="s">
        <v>979</v>
      </c>
      <c r="I656" s="6" t="s">
        <v>20</v>
      </c>
      <c r="J656" s="29"/>
      <c r="K656" s="8" t="str">
        <f t="shared" si="136"/>
        <v/>
      </c>
      <c r="L656" s="8" t="str">
        <f t="shared" si="137"/>
        <v/>
      </c>
      <c r="M656" s="8"/>
      <c r="N656" s="8"/>
      <c r="O656" s="8">
        <v>6.2249999999999996</v>
      </c>
      <c r="P656" s="8">
        <f>1.562+1.876+1.685</f>
        <v>5.1229999999999993</v>
      </c>
      <c r="Q656" s="8"/>
      <c r="R656" s="8"/>
      <c r="S656" s="8">
        <v>6.3710000000000004</v>
      </c>
      <c r="T656" s="8">
        <f>1.452+1.795+1.706+1.562</f>
        <v>6.5149999999999997</v>
      </c>
      <c r="U656" s="8"/>
      <c r="V656" s="8">
        <f>P656/O656</f>
        <v>0.82297188755020079</v>
      </c>
      <c r="W656" s="8"/>
      <c r="X656" s="8">
        <f>T656/S656</f>
        <v>1.0226024172029506</v>
      </c>
      <c r="Y656" s="31">
        <f t="shared" si="138"/>
        <v>3.4898460629921475E-2</v>
      </c>
      <c r="Z656" s="31">
        <f t="shared" si="139"/>
        <v>3.4898460629921475E-2</v>
      </c>
      <c r="AA656" s="31" t="str">
        <f t="shared" si="140"/>
        <v/>
      </c>
    </row>
    <row r="657" spans="1:27" x14ac:dyDescent="0.25">
      <c r="A657" s="6" t="str">
        <f t="shared" si="134"/>
        <v>fragment</v>
      </c>
      <c r="C657" s="6" t="str">
        <f t="shared" si="135"/>
        <v>HC280 428</v>
      </c>
      <c r="D657" s="6" t="s">
        <v>643</v>
      </c>
      <c r="E657" s="20">
        <v>428</v>
      </c>
      <c r="F657" s="6" t="s">
        <v>154</v>
      </c>
      <c r="G657" s="6" t="s">
        <v>657</v>
      </c>
      <c r="H657" s="6" t="s">
        <v>979</v>
      </c>
      <c r="I657" s="6" t="s">
        <v>20</v>
      </c>
      <c r="J657" s="29"/>
      <c r="K657" s="8" t="str">
        <f t="shared" si="136"/>
        <v/>
      </c>
      <c r="L657" s="8" t="str">
        <f t="shared" si="137"/>
        <v/>
      </c>
      <c r="M657" s="8"/>
      <c r="N657" s="8"/>
      <c r="O657" s="8"/>
      <c r="P657" s="8"/>
      <c r="Q657" s="8">
        <v>18.634</v>
      </c>
      <c r="R657" s="8">
        <f>2.757+1.126+3.77+2.773+2.606</f>
        <v>13.032</v>
      </c>
      <c r="S657" s="8">
        <v>5.9850000000000003</v>
      </c>
      <c r="T657" s="8">
        <f>0.856+1.831+1.249</f>
        <v>3.9359999999999999</v>
      </c>
      <c r="U657" s="8"/>
      <c r="V657" s="8"/>
      <c r="W657" s="8">
        <f>R657/Q657</f>
        <v>0.6993667489535258</v>
      </c>
      <c r="X657" s="8">
        <f>T657/S657</f>
        <v>0.65764411027568914</v>
      </c>
      <c r="Y657" s="31">
        <f t="shared" si="138"/>
        <v>0.16844667262881607</v>
      </c>
      <c r="Z657" s="31">
        <f t="shared" si="139"/>
        <v>0.16844667262881607</v>
      </c>
      <c r="AA657" s="31" t="str">
        <f t="shared" si="140"/>
        <v/>
      </c>
    </row>
    <row r="658" spans="1:27" x14ac:dyDescent="0.25">
      <c r="A658" s="6" t="str">
        <f t="shared" si="134"/>
        <v>complete</v>
      </c>
      <c r="C658" s="6" t="str">
        <f t="shared" si="135"/>
        <v>HC280 428</v>
      </c>
      <c r="D658" s="6" t="s">
        <v>643</v>
      </c>
      <c r="E658" s="20">
        <v>428</v>
      </c>
      <c r="F658" s="6" t="s">
        <v>154</v>
      </c>
      <c r="G658" s="6" t="s">
        <v>658</v>
      </c>
      <c r="H658" s="6" t="s">
        <v>979</v>
      </c>
      <c r="I658" s="6" t="s">
        <v>20</v>
      </c>
      <c r="J658" s="29">
        <f>53.272*2</f>
        <v>106.544</v>
      </c>
      <c r="K658" s="8">
        <f t="shared" si="136"/>
        <v>2.0275289975484694</v>
      </c>
      <c r="L658" s="8">
        <f t="shared" si="137"/>
        <v>9.2737282313563583</v>
      </c>
      <c r="M658" s="8"/>
      <c r="N658" s="8"/>
      <c r="O658" s="8">
        <v>19.989999999999998</v>
      </c>
      <c r="P658" s="8">
        <f>2.049+4.357+0.771+4.601+0.337+4.483+2.143</f>
        <v>18.741</v>
      </c>
      <c r="Q658" s="8"/>
      <c r="R658" s="8"/>
      <c r="S658" s="8">
        <v>6.17</v>
      </c>
      <c r="T658" s="8">
        <f>0.686+2.626+2.699+1.543</f>
        <v>7.5539999999999994</v>
      </c>
      <c r="U658" s="8"/>
      <c r="V658" s="8">
        <f>P658/O658</f>
        <v>0.93751875937968987</v>
      </c>
      <c r="W658" s="8"/>
      <c r="X658" s="8">
        <f>T658/S658</f>
        <v>1.2243111831442464</v>
      </c>
      <c r="Y658" s="31">
        <f t="shared" si="138"/>
        <v>-3.3791532099361095E-2</v>
      </c>
      <c r="Z658" s="31" t="str">
        <f t="shared" si="139"/>
        <v/>
      </c>
      <c r="AA658" s="31">
        <f t="shared" si="140"/>
        <v>-3.3791532099361095E-2</v>
      </c>
    </row>
    <row r="659" spans="1:27" x14ac:dyDescent="0.25">
      <c r="A659" s="6" t="str">
        <f t="shared" si="134"/>
        <v>complete</v>
      </c>
      <c r="C659" s="6" t="str">
        <f t="shared" si="135"/>
        <v>HC280 428</v>
      </c>
      <c r="D659" s="6" t="s">
        <v>643</v>
      </c>
      <c r="E659" s="20">
        <v>428</v>
      </c>
      <c r="F659" s="6" t="s">
        <v>154</v>
      </c>
      <c r="G659" s="6" t="s">
        <v>659</v>
      </c>
      <c r="H659" s="6" t="s">
        <v>979</v>
      </c>
      <c r="I659" s="6" t="s">
        <v>20</v>
      </c>
      <c r="J659" s="29">
        <f>46.432*2</f>
        <v>92.864000000000004</v>
      </c>
      <c r="K659" s="8">
        <f t="shared" si="136"/>
        <v>1.967847386421623</v>
      </c>
      <c r="L659" s="8">
        <f t="shared" si="137"/>
        <v>9.1363062432498143</v>
      </c>
      <c r="M659" s="8"/>
      <c r="N659" s="8"/>
      <c r="O659" s="8">
        <v>17.748000000000001</v>
      </c>
      <c r="P659" s="8">
        <f>1.023+2.591+2.676+3.059+3.072+1.32</f>
        <v>13.741</v>
      </c>
      <c r="Q659" s="8"/>
      <c r="R659" s="8"/>
      <c r="S659" s="8"/>
      <c r="T659" s="8"/>
      <c r="U659" s="8"/>
      <c r="V659" s="8">
        <f>P659/O659</f>
        <v>0.77422808203741256</v>
      </c>
      <c r="W659" s="8"/>
      <c r="X659" s="8"/>
      <c r="Y659" s="31">
        <f t="shared" si="138"/>
        <v>0.11113108043025433</v>
      </c>
      <c r="Z659" s="31" t="str">
        <f t="shared" si="139"/>
        <v/>
      </c>
      <c r="AA659" s="31">
        <f t="shared" si="140"/>
        <v>0.11113108043025433</v>
      </c>
    </row>
    <row r="660" spans="1:27" x14ac:dyDescent="0.25">
      <c r="A660" s="6" t="str">
        <f t="shared" si="134"/>
        <v>fragment</v>
      </c>
      <c r="C660" s="6" t="str">
        <f t="shared" si="135"/>
        <v>HC280 428</v>
      </c>
      <c r="D660" s="6" t="s">
        <v>643</v>
      </c>
      <c r="E660" s="20">
        <v>428</v>
      </c>
      <c r="F660" s="6" t="s">
        <v>154</v>
      </c>
      <c r="G660" s="6" t="s">
        <v>660</v>
      </c>
      <c r="H660" s="6" t="s">
        <v>979</v>
      </c>
      <c r="I660" s="6" t="s">
        <v>20</v>
      </c>
      <c r="J660" s="29"/>
      <c r="K660" s="8" t="str">
        <f t="shared" si="136"/>
        <v/>
      </c>
      <c r="L660" s="8" t="str">
        <f t="shared" si="137"/>
        <v/>
      </c>
      <c r="M660" s="8"/>
      <c r="N660" s="8"/>
      <c r="O660" s="8">
        <v>15.618</v>
      </c>
      <c r="P660" s="8">
        <f>1.675+3.956+3.799+2.413</f>
        <v>11.843</v>
      </c>
      <c r="Q660" s="8">
        <v>7.9119999999999999</v>
      </c>
      <c r="R660" s="8">
        <f>1.22+2.26+2.182+1.881</f>
        <v>7.5429999999999993</v>
      </c>
      <c r="S660" s="8"/>
      <c r="T660" s="8"/>
      <c r="U660" s="8"/>
      <c r="V660" s="8">
        <f>P660/O660</f>
        <v>0.75829171468818024</v>
      </c>
      <c r="W660" s="8">
        <f>R660/Q660</f>
        <v>0.9533619817997977</v>
      </c>
      <c r="X660" s="8"/>
      <c r="Y660" s="31">
        <f t="shared" si="138"/>
        <v>6.7614093335473538E-2</v>
      </c>
      <c r="Z660" s="31">
        <f t="shared" si="139"/>
        <v>6.7614093335473538E-2</v>
      </c>
      <c r="AA660" s="31" t="str">
        <f t="shared" si="140"/>
        <v/>
      </c>
    </row>
    <row r="661" spans="1:27" x14ac:dyDescent="0.25">
      <c r="A661" s="6" t="str">
        <f t="shared" si="134"/>
        <v>fragment</v>
      </c>
      <c r="C661" s="6" t="str">
        <f t="shared" si="135"/>
        <v>HC280 428</v>
      </c>
      <c r="D661" s="6" t="s">
        <v>643</v>
      </c>
      <c r="E661" s="20">
        <v>428</v>
      </c>
      <c r="F661" s="6" t="s">
        <v>154</v>
      </c>
      <c r="G661" s="6" t="s">
        <v>661</v>
      </c>
      <c r="H661" s="6" t="s">
        <v>979</v>
      </c>
      <c r="I661" s="6" t="s">
        <v>20</v>
      </c>
      <c r="J661" s="29"/>
      <c r="K661" s="8" t="str">
        <f t="shared" si="136"/>
        <v/>
      </c>
      <c r="L661" s="8" t="str">
        <f t="shared" si="137"/>
        <v/>
      </c>
      <c r="M661" s="8"/>
      <c r="N661" s="8"/>
      <c r="O661" s="8">
        <v>10.898</v>
      </c>
      <c r="P661" s="8">
        <f>1.165+2.491+2.733+0.843+2.003</f>
        <v>9.2349999999999994</v>
      </c>
      <c r="Q661" s="8"/>
      <c r="R661" s="8"/>
      <c r="S661" s="8"/>
      <c r="T661" s="8"/>
      <c r="U661" s="8"/>
      <c r="V661" s="8">
        <f>P661/O661</f>
        <v>0.84740319324646718</v>
      </c>
      <c r="W661" s="8"/>
      <c r="X661" s="8"/>
      <c r="Y661" s="31">
        <f t="shared" si="138"/>
        <v>7.1909903791829877E-2</v>
      </c>
      <c r="Z661" s="31">
        <f t="shared" si="139"/>
        <v>7.1909903791829877E-2</v>
      </c>
      <c r="AA661" s="31" t="str">
        <f t="shared" si="140"/>
        <v/>
      </c>
    </row>
    <row r="662" spans="1:27" x14ac:dyDescent="0.25">
      <c r="A662" s="6" t="str">
        <f t="shared" si="134"/>
        <v>fragment</v>
      </c>
      <c r="C662" s="6" t="str">
        <f t="shared" si="135"/>
        <v>HC280 428</v>
      </c>
      <c r="D662" s="6" t="s">
        <v>643</v>
      </c>
      <c r="E662" s="20">
        <v>428</v>
      </c>
      <c r="F662" s="6" t="s">
        <v>154</v>
      </c>
      <c r="G662" s="6" t="s">
        <v>662</v>
      </c>
      <c r="H662" s="6" t="s">
        <v>979</v>
      </c>
      <c r="I662" s="6" t="s">
        <v>20</v>
      </c>
      <c r="J662" s="29"/>
      <c r="K662" s="8" t="str">
        <f t="shared" si="136"/>
        <v/>
      </c>
      <c r="L662" s="8" t="str">
        <f t="shared" si="137"/>
        <v/>
      </c>
      <c r="M662" s="8"/>
      <c r="N662" s="8"/>
      <c r="O662" s="8"/>
      <c r="P662" s="8"/>
      <c r="Q662" s="8">
        <v>15.324</v>
      </c>
      <c r="R662" s="8">
        <f>1.816+2.61+2.738+2.763</f>
        <v>9.9269999999999996</v>
      </c>
      <c r="S662" s="8">
        <v>18.628</v>
      </c>
      <c r="T662" s="8">
        <f>2.579+2.862+2.994+3.032</f>
        <v>11.467000000000001</v>
      </c>
      <c r="U662" s="8"/>
      <c r="V662" s="8"/>
      <c r="W662" s="8">
        <f>R662/Q662</f>
        <v>0.64780736100234926</v>
      </c>
      <c r="X662" s="8">
        <f>T662/S662</f>
        <v>0.61557869873309001</v>
      </c>
      <c r="Y662" s="31">
        <f t="shared" si="138"/>
        <v>0.19949391510608783</v>
      </c>
      <c r="Z662" s="31">
        <f t="shared" si="139"/>
        <v>0.19949391510608783</v>
      </c>
      <c r="AA662" s="31" t="str">
        <f t="shared" si="140"/>
        <v/>
      </c>
    </row>
    <row r="663" spans="1:27" x14ac:dyDescent="0.25">
      <c r="A663" s="6" t="str">
        <f t="shared" si="134"/>
        <v>fragment</v>
      </c>
      <c r="C663" s="6" t="str">
        <f t="shared" si="135"/>
        <v>HC280 428</v>
      </c>
      <c r="D663" s="6" t="s">
        <v>643</v>
      </c>
      <c r="E663" s="20">
        <v>428</v>
      </c>
      <c r="F663" s="6" t="s">
        <v>154</v>
      </c>
      <c r="G663" s="6" t="s">
        <v>664</v>
      </c>
      <c r="H663" s="6" t="s">
        <v>979</v>
      </c>
      <c r="I663" s="6" t="s">
        <v>20</v>
      </c>
      <c r="J663" s="29"/>
      <c r="K663" s="8" t="str">
        <f t="shared" si="136"/>
        <v/>
      </c>
      <c r="L663" s="8" t="str">
        <f t="shared" si="137"/>
        <v/>
      </c>
      <c r="M663" s="8"/>
      <c r="N663" s="8"/>
      <c r="O663" s="8">
        <v>10.617000000000001</v>
      </c>
      <c r="P663" s="8">
        <f>1.12+3.507+0.775+3.025</f>
        <v>8.4270000000000014</v>
      </c>
      <c r="Q663" s="8"/>
      <c r="R663" s="8"/>
      <c r="S663" s="8">
        <v>5.4</v>
      </c>
      <c r="T663" s="8">
        <f>2.605+1.039</f>
        <v>3.6440000000000001</v>
      </c>
      <c r="U663" s="8"/>
      <c r="V663" s="8">
        <f t="shared" ref="V663:V668" si="142">P663/O663</f>
        <v>0.79372704153715745</v>
      </c>
      <c r="W663" s="8"/>
      <c r="X663" s="8">
        <f>T663/S663</f>
        <v>0.67481481481481476</v>
      </c>
      <c r="Y663" s="31">
        <f t="shared" si="138"/>
        <v>0.1341436663757189</v>
      </c>
      <c r="Z663" s="31">
        <f t="shared" si="139"/>
        <v>0.1341436663757189</v>
      </c>
      <c r="AA663" s="31" t="str">
        <f t="shared" si="140"/>
        <v/>
      </c>
    </row>
    <row r="664" spans="1:27" x14ac:dyDescent="0.25">
      <c r="A664" s="6" t="str">
        <f t="shared" si="134"/>
        <v>fragment</v>
      </c>
      <c r="C664" s="6" t="str">
        <f t="shared" si="135"/>
        <v>HC280 428</v>
      </c>
      <c r="D664" s="6" t="s">
        <v>643</v>
      </c>
      <c r="E664" s="20">
        <v>428</v>
      </c>
      <c r="F664" s="6" t="s">
        <v>154</v>
      </c>
      <c r="G664" s="6" t="s">
        <v>665</v>
      </c>
      <c r="H664" s="6" t="s">
        <v>979</v>
      </c>
      <c r="I664" s="6" t="s">
        <v>20</v>
      </c>
      <c r="J664" s="29"/>
      <c r="K664" s="8" t="str">
        <f t="shared" si="136"/>
        <v/>
      </c>
      <c r="L664" s="8" t="str">
        <f t="shared" si="137"/>
        <v/>
      </c>
      <c r="M664" s="8"/>
      <c r="N664" s="8"/>
      <c r="O664" s="8">
        <v>27.152999999999999</v>
      </c>
      <c r="P664" s="8">
        <f>2.97+4.261+3.802+2.325</f>
        <v>13.358000000000001</v>
      </c>
      <c r="Q664" s="8">
        <v>10.792</v>
      </c>
      <c r="R664" s="8">
        <f>1.978+2.244+2.244</f>
        <v>6.4660000000000011</v>
      </c>
      <c r="S664" s="8"/>
      <c r="T664" s="8"/>
      <c r="U664" s="8"/>
      <c r="V664" s="8">
        <f t="shared" si="142"/>
        <v>0.49195300703421357</v>
      </c>
      <c r="W664" s="8">
        <f t="shared" ref="W664:W670" si="143">R664/Q664</f>
        <v>0.59914751667902155</v>
      </c>
      <c r="X664" s="8"/>
      <c r="Y664" s="31">
        <f t="shared" si="138"/>
        <v>0.26316523143418247</v>
      </c>
      <c r="Z664" s="31">
        <f t="shared" si="139"/>
        <v>0.26316523143418247</v>
      </c>
      <c r="AA664" s="31" t="str">
        <f t="shared" si="140"/>
        <v/>
      </c>
    </row>
    <row r="665" spans="1:27" x14ac:dyDescent="0.25">
      <c r="A665" s="6" t="str">
        <f t="shared" si="134"/>
        <v>fragment</v>
      </c>
      <c r="C665" s="6" t="str">
        <f t="shared" si="135"/>
        <v>HC280 428</v>
      </c>
      <c r="D665" s="6" t="s">
        <v>643</v>
      </c>
      <c r="E665" s="20">
        <v>428</v>
      </c>
      <c r="F665" s="6" t="s">
        <v>154</v>
      </c>
      <c r="G665" s="6" t="s">
        <v>666</v>
      </c>
      <c r="H665" s="6" t="s">
        <v>979</v>
      </c>
      <c r="I665" s="6" t="s">
        <v>20</v>
      </c>
      <c r="J665" s="29"/>
      <c r="K665" s="8" t="str">
        <f t="shared" si="136"/>
        <v/>
      </c>
      <c r="L665" s="8" t="str">
        <f t="shared" si="137"/>
        <v/>
      </c>
      <c r="M665" s="8"/>
      <c r="N665" s="8"/>
      <c r="O665" s="8">
        <v>11.486000000000001</v>
      </c>
      <c r="P665" s="8">
        <f>1.072+2.444+2.195+2.83+1.408</f>
        <v>9.9489999999999998</v>
      </c>
      <c r="Q665" s="8">
        <v>9.8420000000000005</v>
      </c>
      <c r="R665" s="8">
        <f>1.864+2.453+2.512</f>
        <v>6.8290000000000006</v>
      </c>
      <c r="S665" s="8"/>
      <c r="T665" s="8"/>
      <c r="U665" s="8"/>
      <c r="V665" s="8">
        <f t="shared" si="142"/>
        <v>0.86618492077311504</v>
      </c>
      <c r="W665" s="8">
        <f t="shared" si="143"/>
        <v>0.69386303596829912</v>
      </c>
      <c r="X665" s="8"/>
      <c r="Y665" s="31">
        <f t="shared" si="138"/>
        <v>0.10789204665051909</v>
      </c>
      <c r="Z665" s="31">
        <f t="shared" si="139"/>
        <v>0.10789204665051909</v>
      </c>
      <c r="AA665" s="31" t="str">
        <f t="shared" si="140"/>
        <v/>
      </c>
    </row>
    <row r="666" spans="1:27" x14ac:dyDescent="0.25">
      <c r="A666" s="6" t="str">
        <f t="shared" si="134"/>
        <v>fragment</v>
      </c>
      <c r="C666" s="6" t="str">
        <f t="shared" si="135"/>
        <v>HC280 428</v>
      </c>
      <c r="D666" s="6" t="s">
        <v>643</v>
      </c>
      <c r="E666" s="20">
        <v>428</v>
      </c>
      <c r="F666" s="6" t="s">
        <v>154</v>
      </c>
      <c r="G666" s="6" t="s">
        <v>667</v>
      </c>
      <c r="H666" s="6" t="s">
        <v>979</v>
      </c>
      <c r="I666" s="6" t="s">
        <v>20</v>
      </c>
      <c r="J666" s="29"/>
      <c r="K666" s="8" t="str">
        <f t="shared" si="136"/>
        <v/>
      </c>
      <c r="L666" s="8" t="str">
        <f t="shared" si="137"/>
        <v/>
      </c>
      <c r="M666" s="8"/>
      <c r="N666" s="8"/>
      <c r="O666" s="8">
        <v>6.4370000000000003</v>
      </c>
      <c r="P666" s="8">
        <f>1.69+2.126+1.207</f>
        <v>5.0229999999999997</v>
      </c>
      <c r="Q666" s="8">
        <v>7.109</v>
      </c>
      <c r="R666" s="8">
        <f>2.185+1.847+1.698</f>
        <v>5.73</v>
      </c>
      <c r="S666" s="8"/>
      <c r="T666" s="8"/>
      <c r="U666" s="8"/>
      <c r="V666" s="8">
        <f t="shared" si="142"/>
        <v>0.78033245300605869</v>
      </c>
      <c r="W666" s="8">
        <f t="shared" si="143"/>
        <v>0.80602053734702495</v>
      </c>
      <c r="X666" s="8"/>
      <c r="Y666" s="31">
        <f t="shared" si="138"/>
        <v>0.10063016406630065</v>
      </c>
      <c r="Z666" s="31">
        <f t="shared" si="139"/>
        <v>0.10063016406630065</v>
      </c>
      <c r="AA666" s="31" t="str">
        <f t="shared" si="140"/>
        <v/>
      </c>
    </row>
    <row r="667" spans="1:27" x14ac:dyDescent="0.25">
      <c r="A667" s="6" t="str">
        <f t="shared" si="134"/>
        <v>complete</v>
      </c>
      <c r="C667" s="6" t="str">
        <f t="shared" si="135"/>
        <v>HC280 428</v>
      </c>
      <c r="D667" s="6" t="s">
        <v>643</v>
      </c>
      <c r="E667" s="20">
        <v>428</v>
      </c>
      <c r="F667" s="6" t="s">
        <v>154</v>
      </c>
      <c r="G667" s="6" t="s">
        <v>644</v>
      </c>
      <c r="H667" s="6" t="s">
        <v>979</v>
      </c>
      <c r="I667" s="6" t="s">
        <v>20</v>
      </c>
      <c r="J667" s="29">
        <v>73.748379999999997</v>
      </c>
      <c r="K667" s="8">
        <f t="shared" si="136"/>
        <v>1.8677524847886684</v>
      </c>
      <c r="L667" s="8">
        <f t="shared" si="137"/>
        <v>8.9058292148650668</v>
      </c>
      <c r="M667" s="8">
        <v>8.7479999999999993</v>
      </c>
      <c r="N667" s="8">
        <f>1.557+3.773+2.848+0.804</f>
        <v>8.9820000000000011</v>
      </c>
      <c r="O667" s="8">
        <v>13.486000000000001</v>
      </c>
      <c r="P667" s="8">
        <f>0.862+2.92+2.992+2.753+2.45+1.945</f>
        <v>13.922000000000001</v>
      </c>
      <c r="Q667" s="8">
        <v>2.6880000000000002</v>
      </c>
      <c r="R667" s="8">
        <f>1.411+1.255+0.934</f>
        <v>3.6</v>
      </c>
      <c r="S667" s="8"/>
      <c r="T667" s="8"/>
      <c r="U667" s="8">
        <f>N667/M667</f>
        <v>1.0267489711934159</v>
      </c>
      <c r="V667" s="8">
        <f t="shared" si="142"/>
        <v>1.0323298235206881</v>
      </c>
      <c r="W667" s="8">
        <f t="shared" si="143"/>
        <v>1.3392857142857142</v>
      </c>
      <c r="X667" s="8"/>
      <c r="Y667" s="31">
        <f t="shared" si="138"/>
        <v>-5.4148704791897283E-2</v>
      </c>
      <c r="Z667" s="31" t="str">
        <f t="shared" si="139"/>
        <v/>
      </c>
      <c r="AA667" s="31">
        <f t="shared" si="140"/>
        <v>-5.4148704791897283E-2</v>
      </c>
    </row>
    <row r="668" spans="1:27" x14ac:dyDescent="0.25">
      <c r="A668" s="6" t="str">
        <f t="shared" si="134"/>
        <v>complete</v>
      </c>
      <c r="C668" s="6" t="str">
        <f t="shared" si="135"/>
        <v>HC280 428</v>
      </c>
      <c r="D668" s="6" t="s">
        <v>643</v>
      </c>
      <c r="E668" s="20">
        <v>428</v>
      </c>
      <c r="F668" s="6" t="s">
        <v>154</v>
      </c>
      <c r="G668" s="6" t="s">
        <v>663</v>
      </c>
      <c r="H668" s="6" t="s">
        <v>979</v>
      </c>
      <c r="I668" s="8" t="s">
        <v>20</v>
      </c>
      <c r="J668" s="29">
        <v>64.704030000000003</v>
      </c>
      <c r="K668" s="8">
        <f t="shared" si="136"/>
        <v>1.8109313309354136</v>
      </c>
      <c r="L668" s="8">
        <f t="shared" si="137"/>
        <v>8.7749936730358424</v>
      </c>
      <c r="M668" s="8">
        <v>5.1150000000000002</v>
      </c>
      <c r="N668" s="8">
        <f>1.11+3.285+0.852</f>
        <v>5.2470000000000008</v>
      </c>
      <c r="O668" s="8">
        <v>14.097</v>
      </c>
      <c r="P668" s="8">
        <f>1.959+3.676+3.389+2.79+1.771</f>
        <v>13.585000000000001</v>
      </c>
      <c r="Q668" s="8">
        <v>4.4809999999999999</v>
      </c>
      <c r="R668" s="8">
        <f>0.865+1.822+1.79+1.052</f>
        <v>5.5289999999999999</v>
      </c>
      <c r="S668" s="8"/>
      <c r="T668" s="8"/>
      <c r="U668" s="8">
        <f>N668/M668</f>
        <v>1.0258064516129033</v>
      </c>
      <c r="V668" s="8">
        <f t="shared" si="142"/>
        <v>0.96368021564871964</v>
      </c>
      <c r="W668" s="8">
        <f t="shared" si="143"/>
        <v>1.2338763668823924</v>
      </c>
      <c r="X668" s="8"/>
      <c r="Y668" s="31">
        <f t="shared" si="138"/>
        <v>-3.1187966351668681E-2</v>
      </c>
      <c r="Z668" s="31" t="str">
        <f t="shared" si="139"/>
        <v/>
      </c>
      <c r="AA668" s="31">
        <f t="shared" si="140"/>
        <v>-3.1187966351668681E-2</v>
      </c>
    </row>
    <row r="669" spans="1:27" x14ac:dyDescent="0.25">
      <c r="A669" s="6" t="str">
        <f t="shared" si="134"/>
        <v>complete</v>
      </c>
      <c r="C669" s="6" t="str">
        <f t="shared" si="135"/>
        <v>HC280 900</v>
      </c>
      <c r="D669" s="6" t="s">
        <v>643</v>
      </c>
      <c r="E669" s="20">
        <v>900</v>
      </c>
      <c r="F669" s="6" t="s">
        <v>180</v>
      </c>
      <c r="G669" s="6" t="s">
        <v>668</v>
      </c>
      <c r="H669" s="6" t="s">
        <v>977</v>
      </c>
      <c r="I669" s="8" t="s">
        <v>20</v>
      </c>
      <c r="J669" s="29">
        <v>161.13866999999999</v>
      </c>
      <c r="K669" s="8">
        <f t="shared" si="136"/>
        <v>2.2071997747601544</v>
      </c>
      <c r="L669" s="8">
        <f t="shared" si="137"/>
        <v>9.6874354846106385</v>
      </c>
      <c r="M669" s="8">
        <v>6.1210000000000004</v>
      </c>
      <c r="N669" s="8">
        <f>2.195+2.692+1.248</f>
        <v>6.1350000000000007</v>
      </c>
      <c r="O669" s="8"/>
      <c r="P669" s="8"/>
      <c r="Q669" s="8">
        <v>13.452999999999999</v>
      </c>
      <c r="R669" s="8">
        <f>1.594+2.435+2.857+2.315</f>
        <v>9.2010000000000005</v>
      </c>
      <c r="S669" s="8">
        <v>19.295999999999999</v>
      </c>
      <c r="T669" s="8">
        <f>0.932+3.023+3.443+3.534+2.842+1.443</f>
        <v>15.216999999999999</v>
      </c>
      <c r="U669" s="8">
        <f>N669/M669</f>
        <v>1.0022872079725536</v>
      </c>
      <c r="V669" s="8"/>
      <c r="W669" s="8">
        <f t="shared" si="143"/>
        <v>0.68393666840110023</v>
      </c>
      <c r="X669" s="8">
        <f>T669/S669</f>
        <v>0.78860903814262018</v>
      </c>
      <c r="Y669" s="31">
        <f t="shared" si="138"/>
        <v>8.3575371350309541E-2</v>
      </c>
      <c r="Z669" s="31" t="str">
        <f t="shared" si="139"/>
        <v/>
      </c>
      <c r="AA669" s="31">
        <f t="shared" si="140"/>
        <v>8.3575371350309541E-2</v>
      </c>
    </row>
    <row r="670" spans="1:27" x14ac:dyDescent="0.25">
      <c r="A670" s="6" t="str">
        <f t="shared" si="134"/>
        <v>complete</v>
      </c>
      <c r="B670" s="6" t="s">
        <v>1197</v>
      </c>
      <c r="C670" s="6" t="str">
        <f t="shared" si="135"/>
        <v>HC4 428</v>
      </c>
      <c r="D670" s="6" t="s">
        <v>669</v>
      </c>
      <c r="E670" s="20">
        <v>428</v>
      </c>
      <c r="F670" s="6" t="s">
        <v>154</v>
      </c>
      <c r="G670" s="6" t="s">
        <v>670</v>
      </c>
      <c r="H670" s="6" t="s">
        <v>979</v>
      </c>
      <c r="I670" s="6" t="s">
        <v>5</v>
      </c>
      <c r="J670" s="29">
        <v>63.384999999999998</v>
      </c>
      <c r="K670" s="8">
        <f t="shared" si="136"/>
        <v>1.801986494664334</v>
      </c>
      <c r="L670" s="8">
        <f t="shared" si="137"/>
        <v>8.754397426378782</v>
      </c>
      <c r="M670" s="8"/>
      <c r="N670" s="8"/>
      <c r="O670" s="8">
        <v>3.6030000000000002</v>
      </c>
      <c r="P670" s="8">
        <f>1.072+1.211+1.221+0.905</f>
        <v>4.4090000000000007</v>
      </c>
      <c r="Q670" s="8">
        <v>1.454</v>
      </c>
      <c r="R670" s="8">
        <f>0.704+0.676+0.669</f>
        <v>2.0489999999999999</v>
      </c>
      <c r="S670" s="8">
        <v>6.4279999999999999</v>
      </c>
      <c r="T670" s="8">
        <f>2.328+2.369</f>
        <v>4.6970000000000001</v>
      </c>
      <c r="U670" s="8"/>
      <c r="V670" s="8">
        <f>P670/O670</f>
        <v>1.2237024701637524</v>
      </c>
      <c r="W670" s="8">
        <f t="shared" si="143"/>
        <v>1.4092159559834938</v>
      </c>
      <c r="X670" s="8">
        <f>T670/S670</f>
        <v>0.73070939639079036</v>
      </c>
      <c r="Y670" s="31">
        <f t="shared" si="138"/>
        <v>-4.968668140742092E-2</v>
      </c>
      <c r="Z670" s="31" t="str">
        <f t="shared" si="139"/>
        <v/>
      </c>
      <c r="AA670" s="31">
        <f t="shared" si="140"/>
        <v>-4.968668140742092E-2</v>
      </c>
    </row>
    <row r="671" spans="1:27" x14ac:dyDescent="0.25">
      <c r="A671" s="6" t="str">
        <f t="shared" si="134"/>
        <v>complete</v>
      </c>
      <c r="B671" s="6" t="s">
        <v>1197</v>
      </c>
      <c r="C671" s="6" t="str">
        <f t="shared" si="135"/>
        <v>HC4 428</v>
      </c>
      <c r="D671" s="6" t="s">
        <v>669</v>
      </c>
      <c r="E671" s="20">
        <v>428</v>
      </c>
      <c r="F671" s="6" t="s">
        <v>154</v>
      </c>
      <c r="G671" s="6" t="s">
        <v>685</v>
      </c>
      <c r="H671" s="6" t="s">
        <v>979</v>
      </c>
      <c r="I671" s="8" t="s">
        <v>5</v>
      </c>
      <c r="J671" s="29">
        <v>46.353999999999999</v>
      </c>
      <c r="K671" s="8">
        <f t="shared" si="136"/>
        <v>1.6660872164303064</v>
      </c>
      <c r="L671" s="8">
        <f t="shared" si="137"/>
        <v>8.4414777741684599</v>
      </c>
      <c r="M671" s="8">
        <v>2.8140000000000001</v>
      </c>
      <c r="N671" s="8">
        <f>1.376+1.283</f>
        <v>2.6589999999999998</v>
      </c>
      <c r="O671" s="8">
        <v>2.9009999999999998</v>
      </c>
      <c r="P671" s="8">
        <f>1.052+1.002+1.026+0.929</f>
        <v>4.0090000000000003</v>
      </c>
      <c r="Q671" s="8"/>
      <c r="R671" s="8"/>
      <c r="S671" s="8"/>
      <c r="T671" s="8"/>
      <c r="U671" s="8">
        <f>N671/M671</f>
        <v>0.94491826581378813</v>
      </c>
      <c r="V671" s="8">
        <f>P671/O671</f>
        <v>1.3819372630127544</v>
      </c>
      <c r="W671" s="8"/>
      <c r="X671" s="8"/>
      <c r="Y671" s="31">
        <f t="shared" si="138"/>
        <v>-6.5739423728808269E-2</v>
      </c>
      <c r="Z671" s="31" t="str">
        <f t="shared" si="139"/>
        <v/>
      </c>
      <c r="AA671" s="31">
        <f t="shared" si="140"/>
        <v>-6.5739423728808269E-2</v>
      </c>
    </row>
    <row r="672" spans="1:27" x14ac:dyDescent="0.25">
      <c r="A672" s="6" t="str">
        <f t="shared" si="134"/>
        <v>complete</v>
      </c>
      <c r="B672" s="6" t="s">
        <v>1197</v>
      </c>
      <c r="C672" s="6" t="str">
        <f t="shared" si="135"/>
        <v>HC4 428</v>
      </c>
      <c r="D672" s="6" t="s">
        <v>669</v>
      </c>
      <c r="E672" s="20">
        <v>428</v>
      </c>
      <c r="F672" s="6" t="s">
        <v>154</v>
      </c>
      <c r="G672" s="6" t="s">
        <v>690</v>
      </c>
      <c r="H672" s="6" t="s">
        <v>979</v>
      </c>
      <c r="I672" s="8" t="s">
        <v>5</v>
      </c>
      <c r="J672" s="29">
        <v>14.341240000000001</v>
      </c>
      <c r="K672" s="8">
        <f t="shared" si="136"/>
        <v>1.1565867037638167</v>
      </c>
      <c r="L672" s="8">
        <f t="shared" si="137"/>
        <v>7.2683094888297761</v>
      </c>
      <c r="M672" s="8"/>
      <c r="N672" s="8"/>
      <c r="O672" s="8"/>
      <c r="P672" s="8"/>
      <c r="Q672" s="8">
        <v>0.50900000000000001</v>
      </c>
      <c r="R672" s="8">
        <f>0.417+0.418+0.49</f>
        <v>1.325</v>
      </c>
      <c r="S672" s="8">
        <v>1.4950000000000001</v>
      </c>
      <c r="T672" s="8">
        <f>1.25+0.98+0.138</f>
        <v>2.3679999999999999</v>
      </c>
      <c r="U672" s="8"/>
      <c r="V672" s="8"/>
      <c r="W672" s="8">
        <f>R672/Q672</f>
        <v>2.6031434184675835</v>
      </c>
      <c r="X672" s="8">
        <f t="shared" ref="X672:X686" si="144">T672/S672</f>
        <v>1.5839464882943142</v>
      </c>
      <c r="Y672" s="31">
        <f t="shared" si="138"/>
        <v>-0.320882290661061</v>
      </c>
      <c r="Z672" s="31" t="str">
        <f t="shared" si="139"/>
        <v/>
      </c>
      <c r="AA672" s="31">
        <f t="shared" si="140"/>
        <v>-0.320882290661061</v>
      </c>
    </row>
    <row r="673" spans="1:27" x14ac:dyDescent="0.25">
      <c r="A673" s="6" t="str">
        <f t="shared" si="134"/>
        <v>complete</v>
      </c>
      <c r="B673" s="6" t="s">
        <v>1197</v>
      </c>
      <c r="C673" s="6" t="str">
        <f t="shared" si="135"/>
        <v>HC4 428</v>
      </c>
      <c r="D673" s="6" t="s">
        <v>669</v>
      </c>
      <c r="E673" s="20">
        <v>428</v>
      </c>
      <c r="F673" s="6" t="s">
        <v>154</v>
      </c>
      <c r="G673" s="6" t="s">
        <v>691</v>
      </c>
      <c r="H673" s="6" t="s">
        <v>979</v>
      </c>
      <c r="I673" s="8" t="s">
        <v>5</v>
      </c>
      <c r="J673" s="29">
        <v>68.116259999999997</v>
      </c>
      <c r="K673" s="8">
        <f t="shared" si="136"/>
        <v>1.8332507945173331</v>
      </c>
      <c r="L673" s="8">
        <f t="shared" si="137"/>
        <v>8.8263861371631922</v>
      </c>
      <c r="M673" s="8"/>
      <c r="N673" s="8"/>
      <c r="O673" s="8"/>
      <c r="P673" s="8"/>
      <c r="Q673" s="8">
        <v>2.6909999999999998</v>
      </c>
      <c r="R673" s="8">
        <f>1.465+1.097+0.997</f>
        <v>3.5590000000000002</v>
      </c>
      <c r="S673" s="8">
        <v>2.31</v>
      </c>
      <c r="T673" s="8">
        <v>1.8620000000000001</v>
      </c>
      <c r="U673" s="8"/>
      <c r="V673" s="8"/>
      <c r="W673" s="8">
        <f>R673/Q673</f>
        <v>1.3225566703827574</v>
      </c>
      <c r="X673" s="8">
        <f t="shared" si="144"/>
        <v>0.80606060606060603</v>
      </c>
      <c r="Y673" s="31">
        <f t="shared" si="138"/>
        <v>-2.7067587018832301E-2</v>
      </c>
      <c r="Z673" s="31" t="str">
        <f t="shared" si="139"/>
        <v/>
      </c>
      <c r="AA673" s="31">
        <f t="shared" si="140"/>
        <v>-2.7067587018832301E-2</v>
      </c>
    </row>
    <row r="674" spans="1:27" x14ac:dyDescent="0.25">
      <c r="A674" s="6" t="str">
        <f t="shared" si="134"/>
        <v>complete</v>
      </c>
      <c r="B674" s="6" t="s">
        <v>1197</v>
      </c>
      <c r="C674" s="6" t="str">
        <f t="shared" si="135"/>
        <v>HC4 428</v>
      </c>
      <c r="D674" s="6" t="s">
        <v>669</v>
      </c>
      <c r="E674" s="20">
        <v>428</v>
      </c>
      <c r="F674" s="6" t="s">
        <v>154</v>
      </c>
      <c r="G674" s="6" t="s">
        <v>671</v>
      </c>
      <c r="H674" s="6" t="s">
        <v>979</v>
      </c>
      <c r="I674" s="6" t="s">
        <v>5</v>
      </c>
      <c r="J674" s="29">
        <v>53.188000000000002</v>
      </c>
      <c r="K674" s="8">
        <f t="shared" si="136"/>
        <v>1.7258136600838037</v>
      </c>
      <c r="L674" s="8">
        <f t="shared" si="137"/>
        <v>8.5790029929825504</v>
      </c>
      <c r="M674" s="8"/>
      <c r="N674" s="8"/>
      <c r="O674" s="8">
        <v>4.665</v>
      </c>
      <c r="P674" s="8">
        <f>1.533+1.563+1.071</f>
        <v>4.1669999999999998</v>
      </c>
      <c r="Q674" s="8"/>
      <c r="R674" s="8"/>
      <c r="S674" s="8">
        <v>3.2090000000000001</v>
      </c>
      <c r="T674" s="8">
        <f>1.436+1.168</f>
        <v>2.6040000000000001</v>
      </c>
      <c r="U674" s="8"/>
      <c r="V674" s="8">
        <f>P674/O674</f>
        <v>0.8932475884244373</v>
      </c>
      <c r="W674" s="8"/>
      <c r="X674" s="8">
        <f t="shared" si="144"/>
        <v>0.81146774696167034</v>
      </c>
      <c r="Y674" s="31">
        <f t="shared" si="138"/>
        <v>6.9378127639021431E-2</v>
      </c>
      <c r="Z674" s="31" t="str">
        <f t="shared" si="139"/>
        <v/>
      </c>
      <c r="AA674" s="31">
        <f t="shared" si="140"/>
        <v>6.9378127639021431E-2</v>
      </c>
    </row>
    <row r="675" spans="1:27" x14ac:dyDescent="0.25">
      <c r="A675" s="6" t="str">
        <f t="shared" si="134"/>
        <v>complete</v>
      </c>
      <c r="B675" s="6" t="s">
        <v>1197</v>
      </c>
      <c r="C675" s="6" t="str">
        <f t="shared" si="135"/>
        <v>HC4 428</v>
      </c>
      <c r="D675" s="6" t="s">
        <v>669</v>
      </c>
      <c r="E675" s="20">
        <v>428</v>
      </c>
      <c r="F675" s="6" t="s">
        <v>154</v>
      </c>
      <c r="G675" s="6" t="s">
        <v>672</v>
      </c>
      <c r="H675" s="6" t="s">
        <v>979</v>
      </c>
      <c r="I675" s="6" t="s">
        <v>5</v>
      </c>
      <c r="J675" s="29">
        <v>168.09100000000001</v>
      </c>
      <c r="K675" s="8">
        <f t="shared" si="136"/>
        <v>2.2255444608816211</v>
      </c>
      <c r="L675" s="8">
        <f t="shared" si="137"/>
        <v>9.7296756854095818</v>
      </c>
      <c r="M675" s="8">
        <v>4.3470000000000004</v>
      </c>
      <c r="N675" s="8">
        <f>0.854+1.774+0.498</f>
        <v>3.1260000000000003</v>
      </c>
      <c r="O675" s="8">
        <v>11.19</v>
      </c>
      <c r="P675" s="8">
        <f>1.145+2.207+2.32+1.708</f>
        <v>7.38</v>
      </c>
      <c r="Q675" s="8"/>
      <c r="R675" s="8"/>
      <c r="S675" s="8">
        <v>15.279</v>
      </c>
      <c r="T675" s="8">
        <f>3.299+3.91+0.931</f>
        <v>8.14</v>
      </c>
      <c r="U675" s="8">
        <f>N675/M675</f>
        <v>0.71911663216011046</v>
      </c>
      <c r="V675" s="8">
        <f>P675/O675</f>
        <v>0.65951742627345844</v>
      </c>
      <c r="W675" s="8"/>
      <c r="X675" s="8">
        <f t="shared" si="144"/>
        <v>0.53275737940964729</v>
      </c>
      <c r="Y675" s="31">
        <f t="shared" si="138"/>
        <v>0.19577161848261226</v>
      </c>
      <c r="Z675" s="31" t="str">
        <f t="shared" si="139"/>
        <v/>
      </c>
      <c r="AA675" s="31">
        <f t="shared" si="140"/>
        <v>0.19577161848261226</v>
      </c>
    </row>
    <row r="676" spans="1:27" x14ac:dyDescent="0.25">
      <c r="A676" s="6" t="str">
        <f t="shared" si="134"/>
        <v>fragment</v>
      </c>
      <c r="B676" s="6" t="s">
        <v>1197</v>
      </c>
      <c r="C676" s="6" t="str">
        <f t="shared" si="135"/>
        <v>HC4 428</v>
      </c>
      <c r="D676" s="6" t="s">
        <v>669</v>
      </c>
      <c r="E676" s="20">
        <v>428</v>
      </c>
      <c r="F676" s="6" t="s">
        <v>154</v>
      </c>
      <c r="G676" s="6" t="s">
        <v>673</v>
      </c>
      <c r="H676" s="6" t="s">
        <v>979</v>
      </c>
      <c r="I676" s="6" t="s">
        <v>5</v>
      </c>
      <c r="J676" s="29"/>
      <c r="K676" s="8" t="str">
        <f t="shared" si="136"/>
        <v/>
      </c>
      <c r="L676" s="8" t="str">
        <f t="shared" si="137"/>
        <v/>
      </c>
      <c r="M676" s="8"/>
      <c r="N676" s="8"/>
      <c r="O676" s="8">
        <v>3.7410000000000001</v>
      </c>
      <c r="P676" s="8">
        <f>1.562+0.364+1.388+1.232</f>
        <v>4.5460000000000003</v>
      </c>
      <c r="Q676" s="8"/>
      <c r="R676" s="8"/>
      <c r="S676" s="8">
        <v>8.6370000000000005</v>
      </c>
      <c r="T676" s="8">
        <f>1.977+3.064+1.32</f>
        <v>6.3610000000000007</v>
      </c>
      <c r="U676" s="8"/>
      <c r="V676" s="8">
        <f>P676/O676</f>
        <v>1.215183106121358</v>
      </c>
      <c r="W676" s="8"/>
      <c r="X676" s="8">
        <f t="shared" si="144"/>
        <v>0.73648257496816028</v>
      </c>
      <c r="Y676" s="31">
        <f t="shared" si="138"/>
        <v>1.06245702907997E-2</v>
      </c>
      <c r="Z676" s="31">
        <f t="shared" si="139"/>
        <v>1.06245702907997E-2</v>
      </c>
      <c r="AA676" s="31" t="str">
        <f t="shared" si="140"/>
        <v/>
      </c>
    </row>
    <row r="677" spans="1:27" x14ac:dyDescent="0.25">
      <c r="A677" s="6" t="str">
        <f t="shared" si="134"/>
        <v>complete</v>
      </c>
      <c r="B677" s="6" t="s">
        <v>1197</v>
      </c>
      <c r="C677" s="6" t="str">
        <f t="shared" si="135"/>
        <v>HC4 428</v>
      </c>
      <c r="D677" s="6" t="s">
        <v>669</v>
      </c>
      <c r="E677" s="20">
        <v>428</v>
      </c>
      <c r="F677" s="6" t="s">
        <v>154</v>
      </c>
      <c r="G677" s="6" t="s">
        <v>674</v>
      </c>
      <c r="H677" s="6" t="s">
        <v>979</v>
      </c>
      <c r="I677" s="6" t="s">
        <v>5</v>
      </c>
      <c r="J677" s="29">
        <v>90.879000000000005</v>
      </c>
      <c r="K677" s="8">
        <f t="shared" si="136"/>
        <v>1.958463539572145</v>
      </c>
      <c r="L677" s="8">
        <f t="shared" si="137"/>
        <v>9.114699137379267</v>
      </c>
      <c r="M677" s="8">
        <v>1.9670000000000001</v>
      </c>
      <c r="N677" s="8">
        <f>0.96+1.04</f>
        <v>2</v>
      </c>
      <c r="O677" s="8">
        <v>5.7450000000000001</v>
      </c>
      <c r="P677" s="8">
        <f>1.247+1.59+1.556+0.745</f>
        <v>5.1380000000000008</v>
      </c>
      <c r="Q677" s="8"/>
      <c r="R677" s="8"/>
      <c r="S677" s="8">
        <v>6.9470000000000001</v>
      </c>
      <c r="T677" s="8">
        <f>1.594+2.571+0.786</f>
        <v>4.9510000000000005</v>
      </c>
      <c r="U677" s="8">
        <f>N677/M677</f>
        <v>1.0167768174885612</v>
      </c>
      <c r="V677" s="8">
        <f>P677/O677</f>
        <v>0.89434290687554407</v>
      </c>
      <c r="W677" s="8"/>
      <c r="X677" s="8">
        <f t="shared" si="144"/>
        <v>0.71268173312221106</v>
      </c>
      <c r="Y677" s="31">
        <f t="shared" si="138"/>
        <v>5.819028574636833E-2</v>
      </c>
      <c r="Z677" s="31" t="str">
        <f t="shared" si="139"/>
        <v/>
      </c>
      <c r="AA677" s="31">
        <f t="shared" si="140"/>
        <v>5.819028574636833E-2</v>
      </c>
    </row>
    <row r="678" spans="1:27" x14ac:dyDescent="0.25">
      <c r="A678" s="6" t="str">
        <f t="shared" si="134"/>
        <v>complete</v>
      </c>
      <c r="B678" s="6" t="s">
        <v>1197</v>
      </c>
      <c r="C678" s="6" t="str">
        <f t="shared" si="135"/>
        <v>HC4 428</v>
      </c>
      <c r="D678" s="6" t="s">
        <v>669</v>
      </c>
      <c r="E678" s="20">
        <v>428</v>
      </c>
      <c r="F678" s="6" t="s">
        <v>154</v>
      </c>
      <c r="G678" s="6" t="s">
        <v>675</v>
      </c>
      <c r="H678" s="6" t="s">
        <v>979</v>
      </c>
      <c r="I678" s="6" t="s">
        <v>5</v>
      </c>
      <c r="J678" s="29">
        <f>56.1*2</f>
        <v>112.2</v>
      </c>
      <c r="K678" s="8">
        <f t="shared" si="136"/>
        <v>2.0499928569201424</v>
      </c>
      <c r="L678" s="8">
        <f t="shared" si="137"/>
        <v>9.3254531790766872</v>
      </c>
      <c r="M678" s="8">
        <v>3.07</v>
      </c>
      <c r="N678" s="8">
        <f>1.255+1.709+0.968</f>
        <v>3.9319999999999999</v>
      </c>
      <c r="O678" s="8">
        <v>4.8049999999999997</v>
      </c>
      <c r="P678" s="8">
        <f>1.293+1.367+1.587+1.3</f>
        <v>5.5469999999999997</v>
      </c>
      <c r="Q678" s="8"/>
      <c r="R678" s="8"/>
      <c r="S678" s="8">
        <v>10.911</v>
      </c>
      <c r="T678" s="8">
        <f>1.971+3.08+0.147+1.241</f>
        <v>6.4390000000000001</v>
      </c>
      <c r="U678" s="8">
        <f>N678/M678</f>
        <v>1.2807817589576547</v>
      </c>
      <c r="V678" s="8">
        <f>P678/O678</f>
        <v>1.1544224765868887</v>
      </c>
      <c r="W678" s="8"/>
      <c r="X678" s="8">
        <f t="shared" si="144"/>
        <v>0.59013839244798827</v>
      </c>
      <c r="Y678" s="31">
        <f t="shared" si="138"/>
        <v>-3.6533120440671819E-3</v>
      </c>
      <c r="Z678" s="31" t="str">
        <f t="shared" si="139"/>
        <v/>
      </c>
      <c r="AA678" s="31">
        <f t="shared" si="140"/>
        <v>-3.6533120440671819E-3</v>
      </c>
    </row>
    <row r="679" spans="1:27" x14ac:dyDescent="0.25">
      <c r="A679" s="6" t="str">
        <f t="shared" si="134"/>
        <v>complete</v>
      </c>
      <c r="B679" s="6" t="s">
        <v>1197</v>
      </c>
      <c r="C679" s="6" t="str">
        <f t="shared" si="135"/>
        <v>HC4 428</v>
      </c>
      <c r="D679" s="6" t="s">
        <v>669</v>
      </c>
      <c r="E679" s="20">
        <v>428</v>
      </c>
      <c r="F679" s="6" t="s">
        <v>154</v>
      </c>
      <c r="G679" s="6" t="s">
        <v>676</v>
      </c>
      <c r="H679" s="6" t="s">
        <v>979</v>
      </c>
      <c r="I679" s="6" t="s">
        <v>5</v>
      </c>
      <c r="J679" s="29">
        <f>26.272*2</f>
        <v>52.543999999999997</v>
      </c>
      <c r="K679" s="8">
        <f t="shared" si="136"/>
        <v>1.720523131103328</v>
      </c>
      <c r="L679" s="8">
        <f t="shared" si="137"/>
        <v>8.5668210998180552</v>
      </c>
      <c r="M679" s="8"/>
      <c r="N679" s="8"/>
      <c r="O679" s="8"/>
      <c r="P679" s="8"/>
      <c r="Q679" s="8">
        <v>1.365</v>
      </c>
      <c r="R679" s="8">
        <f>0.659+0.659+0.656</f>
        <v>1.9740000000000002</v>
      </c>
      <c r="S679" s="8">
        <v>5.2140000000000004</v>
      </c>
      <c r="T679" s="8">
        <f>1.603+1.634+1.14</f>
        <v>4.3769999999999998</v>
      </c>
      <c r="U679" s="8"/>
      <c r="V679" s="8"/>
      <c r="W679" s="8">
        <f>R679/Q679</f>
        <v>1.4461538461538463</v>
      </c>
      <c r="X679" s="8">
        <f t="shared" si="144"/>
        <v>0.83947065592635206</v>
      </c>
      <c r="Y679" s="31">
        <f t="shared" si="138"/>
        <v>-5.7974887407760071E-2</v>
      </c>
      <c r="Z679" s="31" t="str">
        <f t="shared" si="139"/>
        <v/>
      </c>
      <c r="AA679" s="31">
        <f t="shared" si="140"/>
        <v>-5.7974887407760071E-2</v>
      </c>
    </row>
    <row r="680" spans="1:27" x14ac:dyDescent="0.25">
      <c r="A680" s="6" t="str">
        <f t="shared" si="134"/>
        <v>complete</v>
      </c>
      <c r="B680" s="6" t="s">
        <v>1197</v>
      </c>
      <c r="C680" s="6" t="str">
        <f t="shared" si="135"/>
        <v>HC4 428</v>
      </c>
      <c r="D680" s="6" t="s">
        <v>669</v>
      </c>
      <c r="E680" s="20">
        <v>428</v>
      </c>
      <c r="F680" s="6" t="s">
        <v>154</v>
      </c>
      <c r="G680" s="6" t="s">
        <v>678</v>
      </c>
      <c r="H680" s="6" t="s">
        <v>979</v>
      </c>
      <c r="I680" s="6" t="s">
        <v>5</v>
      </c>
      <c r="J680" s="29">
        <v>136.21199999999999</v>
      </c>
      <c r="K680" s="8">
        <f t="shared" si="136"/>
        <v>2.1342153697222388</v>
      </c>
      <c r="L680" s="8">
        <f t="shared" si="137"/>
        <v>9.5193826815492937</v>
      </c>
      <c r="M680" s="8"/>
      <c r="N680" s="8"/>
      <c r="O680" s="8">
        <v>3.843</v>
      </c>
      <c r="P680" s="8">
        <f>0.914+1.166+1.167+0.724</f>
        <v>3.9710000000000001</v>
      </c>
      <c r="Q680" s="8">
        <v>1.603</v>
      </c>
      <c r="R680" s="8">
        <f>0.774+0.785</f>
        <v>1.5590000000000002</v>
      </c>
      <c r="S680" s="8">
        <v>13.348000000000001</v>
      </c>
      <c r="T680" s="8">
        <f>1.671+3.157+2.036</f>
        <v>6.8640000000000008</v>
      </c>
      <c r="U680" s="8"/>
      <c r="V680" s="8">
        <f t="shared" ref="V680:V692" si="145">P680/O680</f>
        <v>1.0333073119958367</v>
      </c>
      <c r="W680" s="8">
        <f>R680/Q680</f>
        <v>0.97255146600124776</v>
      </c>
      <c r="X680" s="8">
        <f t="shared" si="144"/>
        <v>0.51423434222355413</v>
      </c>
      <c r="Y680" s="31">
        <f t="shared" si="138"/>
        <v>7.5704665981456865E-2</v>
      </c>
      <c r="Z680" s="31" t="str">
        <f t="shared" si="139"/>
        <v/>
      </c>
      <c r="AA680" s="31">
        <f t="shared" si="140"/>
        <v>7.5704665981456865E-2</v>
      </c>
    </row>
    <row r="681" spans="1:27" x14ac:dyDescent="0.25">
      <c r="A681" s="6" t="str">
        <f t="shared" si="134"/>
        <v>complete</v>
      </c>
      <c r="B681" s="6" t="s">
        <v>1197</v>
      </c>
      <c r="C681" s="6" t="str">
        <f t="shared" si="135"/>
        <v>HC4 428</v>
      </c>
      <c r="D681" s="6" t="s">
        <v>669</v>
      </c>
      <c r="E681" s="20">
        <v>428</v>
      </c>
      <c r="F681" s="6" t="s">
        <v>154</v>
      </c>
      <c r="G681" s="6" t="s">
        <v>679</v>
      </c>
      <c r="H681" s="6" t="s">
        <v>979</v>
      </c>
      <c r="I681" s="6" t="s">
        <v>5</v>
      </c>
      <c r="J681" s="29">
        <v>92.093999999999994</v>
      </c>
      <c r="K681" s="8">
        <f t="shared" si="136"/>
        <v>1.9642313364750954</v>
      </c>
      <c r="L681" s="8">
        <f t="shared" si="137"/>
        <v>9.1279799805474173</v>
      </c>
      <c r="M681" s="8"/>
      <c r="N681" s="8"/>
      <c r="O681" s="8">
        <v>3.3330000000000002</v>
      </c>
      <c r="P681" s="8">
        <f>1.075+0.292+0.993+1.037+0.85</f>
        <v>4.2469999999999999</v>
      </c>
      <c r="Q681" s="8"/>
      <c r="R681" s="8"/>
      <c r="S681" s="8">
        <v>2.7970000000000002</v>
      </c>
      <c r="T681" s="8">
        <v>1.2729999999999999</v>
      </c>
      <c r="U681" s="8"/>
      <c r="V681" s="8">
        <f t="shared" si="145"/>
        <v>1.2742274227422741</v>
      </c>
      <c r="W681" s="8"/>
      <c r="X681" s="8">
        <f t="shared" si="144"/>
        <v>0.45513049696102964</v>
      </c>
      <c r="Y681" s="31">
        <f t="shared" si="138"/>
        <v>6.3145108540854242E-2</v>
      </c>
      <c r="Z681" s="31" t="str">
        <f t="shared" si="139"/>
        <v/>
      </c>
      <c r="AA681" s="31">
        <f t="shared" si="140"/>
        <v>6.3145108540854242E-2</v>
      </c>
    </row>
    <row r="682" spans="1:27" x14ac:dyDescent="0.25">
      <c r="A682" s="6" t="str">
        <f t="shared" si="134"/>
        <v>complete</v>
      </c>
      <c r="B682" s="6" t="s">
        <v>1197</v>
      </c>
      <c r="C682" s="6" t="str">
        <f t="shared" si="135"/>
        <v>HC4 428</v>
      </c>
      <c r="D682" s="6" t="s">
        <v>669</v>
      </c>
      <c r="E682" s="20">
        <v>428</v>
      </c>
      <c r="F682" s="6" t="s">
        <v>154</v>
      </c>
      <c r="G682" s="6" t="s">
        <v>680</v>
      </c>
      <c r="H682" s="6" t="s">
        <v>979</v>
      </c>
      <c r="I682" s="6" t="s">
        <v>5</v>
      </c>
      <c r="J682" s="29">
        <f>15.557*2</f>
        <v>31.114000000000001</v>
      </c>
      <c r="K682" s="8">
        <f t="shared" si="136"/>
        <v>1.4929558473754174</v>
      </c>
      <c r="L682" s="8">
        <f t="shared" si="137"/>
        <v>8.0428280646530208</v>
      </c>
      <c r="M682" s="8"/>
      <c r="N682" s="8"/>
      <c r="O682" s="8">
        <v>1.0049999999999999</v>
      </c>
      <c r="P682" s="8">
        <f>0.592+0.664+0.771</f>
        <v>2.0270000000000001</v>
      </c>
      <c r="Q682" s="8"/>
      <c r="R682" s="8"/>
      <c r="S682" s="8">
        <v>3.3439999999999999</v>
      </c>
      <c r="T682" s="8">
        <f>1.161+1.6</f>
        <v>2.7610000000000001</v>
      </c>
      <c r="U682" s="8"/>
      <c r="V682" s="8">
        <f t="shared" si="145"/>
        <v>2.0169154228855724</v>
      </c>
      <c r="W682" s="8"/>
      <c r="X682" s="8">
        <f t="shared" si="144"/>
        <v>0.82565789473684215</v>
      </c>
      <c r="Y682" s="31">
        <f t="shared" si="138"/>
        <v>-0.15268167946472663</v>
      </c>
      <c r="Z682" s="31" t="str">
        <f t="shared" si="139"/>
        <v/>
      </c>
      <c r="AA682" s="31">
        <f t="shared" si="140"/>
        <v>-0.15268167946472663</v>
      </c>
    </row>
    <row r="683" spans="1:27" x14ac:dyDescent="0.25">
      <c r="A683" s="6" t="str">
        <f t="shared" si="134"/>
        <v>fragment</v>
      </c>
      <c r="B683" s="6" t="s">
        <v>1197</v>
      </c>
      <c r="C683" s="6" t="str">
        <f t="shared" si="135"/>
        <v>HC4 428</v>
      </c>
      <c r="D683" s="6" t="s">
        <v>669</v>
      </c>
      <c r="E683" s="20">
        <v>428</v>
      </c>
      <c r="F683" s="6" t="s">
        <v>154</v>
      </c>
      <c r="G683" s="6" t="s">
        <v>681</v>
      </c>
      <c r="H683" s="6" t="s">
        <v>979</v>
      </c>
      <c r="I683" s="6" t="s">
        <v>5</v>
      </c>
      <c r="J683" s="29"/>
      <c r="K683" s="8" t="str">
        <f t="shared" si="136"/>
        <v/>
      </c>
      <c r="L683" s="8" t="str">
        <f t="shared" si="137"/>
        <v/>
      </c>
      <c r="M683" s="8"/>
      <c r="N683" s="8"/>
      <c r="O683" s="8">
        <v>3.819</v>
      </c>
      <c r="P683" s="8">
        <f>1.585+1.551</f>
        <v>3.1360000000000001</v>
      </c>
      <c r="Q683" s="8"/>
      <c r="R683" s="8"/>
      <c r="S683" s="8">
        <v>3.7330000000000001</v>
      </c>
      <c r="T683" s="8">
        <f>1.71+1.358</f>
        <v>3.0680000000000001</v>
      </c>
      <c r="U683" s="8"/>
      <c r="V683" s="8">
        <f t="shared" si="145"/>
        <v>0.82115737103953923</v>
      </c>
      <c r="W683" s="8"/>
      <c r="X683" s="8">
        <f t="shared" si="144"/>
        <v>0.82185909456201445</v>
      </c>
      <c r="Y683" s="31">
        <f t="shared" si="138"/>
        <v>8.5388079895344263E-2</v>
      </c>
      <c r="Z683" s="31">
        <f t="shared" si="139"/>
        <v>8.5388079895344263E-2</v>
      </c>
      <c r="AA683" s="31" t="str">
        <f t="shared" si="140"/>
        <v/>
      </c>
    </row>
    <row r="684" spans="1:27" x14ac:dyDescent="0.25">
      <c r="A684" s="6" t="str">
        <f t="shared" si="134"/>
        <v>complete</v>
      </c>
      <c r="B684" s="6" t="s">
        <v>1197</v>
      </c>
      <c r="C684" s="6" t="str">
        <f t="shared" si="135"/>
        <v>HC4 428</v>
      </c>
      <c r="D684" s="6" t="s">
        <v>669</v>
      </c>
      <c r="E684" s="20">
        <v>428</v>
      </c>
      <c r="F684" s="6" t="s">
        <v>154</v>
      </c>
      <c r="G684" s="6" t="s">
        <v>682</v>
      </c>
      <c r="H684" s="6" t="s">
        <v>979</v>
      </c>
      <c r="I684" s="6" t="s">
        <v>5</v>
      </c>
      <c r="J684" s="29">
        <f>38.742*2</f>
        <v>77.483999999999995</v>
      </c>
      <c r="K684" s="8">
        <f t="shared" si="136"/>
        <v>1.8892120324534643</v>
      </c>
      <c r="L684" s="8">
        <f t="shared" si="137"/>
        <v>8.9552416494204223</v>
      </c>
      <c r="M684" s="8"/>
      <c r="N684" s="8"/>
      <c r="O684" s="8">
        <v>4.9989999999999997</v>
      </c>
      <c r="P684" s="8">
        <f>1.441+1.516+1.008</f>
        <v>3.9649999999999999</v>
      </c>
      <c r="Q684" s="8">
        <v>1.101</v>
      </c>
      <c r="R684" s="8">
        <f>0.63+0.582</f>
        <v>1.212</v>
      </c>
      <c r="S684" s="8">
        <v>8.7479999999999993</v>
      </c>
      <c r="T684" s="8">
        <f>1.692+2.632+1.681</f>
        <v>6.0049999999999999</v>
      </c>
      <c r="U684" s="8"/>
      <c r="V684" s="8">
        <f t="shared" si="145"/>
        <v>0.79315863172634526</v>
      </c>
      <c r="W684" s="8">
        <f>R684/Q684</f>
        <v>1.1008174386920981</v>
      </c>
      <c r="X684" s="8">
        <f t="shared" si="144"/>
        <v>0.68644261545496121</v>
      </c>
      <c r="Y684" s="31">
        <f t="shared" si="138"/>
        <v>6.5431076581231762E-2</v>
      </c>
      <c r="Z684" s="31" t="str">
        <f t="shared" si="139"/>
        <v/>
      </c>
      <c r="AA684" s="31">
        <f t="shared" si="140"/>
        <v>6.5431076581231762E-2</v>
      </c>
    </row>
    <row r="685" spans="1:27" x14ac:dyDescent="0.25">
      <c r="A685" s="6" t="str">
        <f t="shared" si="134"/>
        <v>complete</v>
      </c>
      <c r="B685" s="6" t="s">
        <v>1197</v>
      </c>
      <c r="C685" s="6" t="str">
        <f t="shared" si="135"/>
        <v>HC4 428</v>
      </c>
      <c r="D685" s="6" t="s">
        <v>669</v>
      </c>
      <c r="E685" s="20">
        <v>428</v>
      </c>
      <c r="F685" s="6" t="s">
        <v>154</v>
      </c>
      <c r="G685" s="6" t="s">
        <v>683</v>
      </c>
      <c r="H685" s="6" t="s">
        <v>979</v>
      </c>
      <c r="I685" s="6" t="s">
        <v>5</v>
      </c>
      <c r="J685" s="29">
        <f>32.852*2</f>
        <v>65.703999999999994</v>
      </c>
      <c r="K685" s="8">
        <f t="shared" si="136"/>
        <v>1.8175918098192576</v>
      </c>
      <c r="L685" s="8">
        <f t="shared" si="137"/>
        <v>8.790329992425983</v>
      </c>
      <c r="M685" s="8"/>
      <c r="N685" s="8"/>
      <c r="O685" s="8">
        <v>3.1219999999999999</v>
      </c>
      <c r="P685" s="8">
        <f>1.023+1.195+0.951+1.054+0.971</f>
        <v>5.194</v>
      </c>
      <c r="Q685" s="8"/>
      <c r="R685" s="8"/>
      <c r="S685" s="8">
        <v>2.4329999999999998</v>
      </c>
      <c r="T685" s="8">
        <f>1.514+1.054</f>
        <v>2.5680000000000001</v>
      </c>
      <c r="U685" s="8"/>
      <c r="V685" s="8">
        <f t="shared" si="145"/>
        <v>1.6636771300448432</v>
      </c>
      <c r="W685" s="8"/>
      <c r="X685" s="8">
        <f t="shared" si="144"/>
        <v>1.0554870530209619</v>
      </c>
      <c r="Y685" s="31">
        <f t="shared" si="138"/>
        <v>-0.13340543540523905</v>
      </c>
      <c r="Z685" s="31" t="str">
        <f t="shared" si="139"/>
        <v/>
      </c>
      <c r="AA685" s="31">
        <f t="shared" si="140"/>
        <v>-0.13340543540523905</v>
      </c>
    </row>
    <row r="686" spans="1:27" x14ac:dyDescent="0.25">
      <c r="A686" s="6" t="str">
        <f t="shared" si="134"/>
        <v>complete</v>
      </c>
      <c r="B686" s="6" t="s">
        <v>1197</v>
      </c>
      <c r="C686" s="6" t="str">
        <f t="shared" si="135"/>
        <v>HC4 428</v>
      </c>
      <c r="D686" s="6" t="s">
        <v>669</v>
      </c>
      <c r="E686" s="20">
        <v>428</v>
      </c>
      <c r="F686" s="6" t="s">
        <v>154</v>
      </c>
      <c r="G686" s="6" t="s">
        <v>684</v>
      </c>
      <c r="H686" s="6" t="s">
        <v>979</v>
      </c>
      <c r="I686" s="6" t="s">
        <v>5</v>
      </c>
      <c r="J686" s="29">
        <v>68.448999999999998</v>
      </c>
      <c r="K686" s="8">
        <f t="shared" si="136"/>
        <v>1.8353671077270681</v>
      </c>
      <c r="L686" s="8">
        <f t="shared" si="137"/>
        <v>8.8312591284120359</v>
      </c>
      <c r="M686" s="8"/>
      <c r="N686" s="8"/>
      <c r="O686" s="8">
        <v>2.1850000000000001</v>
      </c>
      <c r="P686" s="8">
        <f>0.911+0.874+0.829+0.917</f>
        <v>3.5309999999999997</v>
      </c>
      <c r="Q686" s="8"/>
      <c r="R686" s="8"/>
      <c r="S686" s="8">
        <v>5.9720000000000004</v>
      </c>
      <c r="T686" s="8">
        <f>2.148+2.005+1.438</f>
        <v>5.5910000000000002</v>
      </c>
      <c r="U686" s="8"/>
      <c r="V686" s="8">
        <f t="shared" si="145"/>
        <v>1.6160183066361555</v>
      </c>
      <c r="W686" s="8"/>
      <c r="X686" s="8">
        <f t="shared" si="144"/>
        <v>0.93620227729403882</v>
      </c>
      <c r="Y686" s="31">
        <f t="shared" si="138"/>
        <v>-0.10588821131450002</v>
      </c>
      <c r="Z686" s="31" t="str">
        <f t="shared" si="139"/>
        <v/>
      </c>
      <c r="AA686" s="31">
        <f t="shared" si="140"/>
        <v>-0.10588821131450002</v>
      </c>
    </row>
    <row r="687" spans="1:27" x14ac:dyDescent="0.25">
      <c r="A687" s="6" t="str">
        <f t="shared" si="134"/>
        <v>complete</v>
      </c>
      <c r="B687" s="6" t="s">
        <v>1197</v>
      </c>
      <c r="C687" s="6" t="str">
        <f t="shared" si="135"/>
        <v>HC4 574</v>
      </c>
      <c r="D687" s="6" t="s">
        <v>669</v>
      </c>
      <c r="E687" s="20">
        <v>574</v>
      </c>
      <c r="G687" s="6" t="s">
        <v>686</v>
      </c>
      <c r="H687" s="6" t="s">
        <v>977</v>
      </c>
      <c r="I687" s="8" t="s">
        <v>5</v>
      </c>
      <c r="J687" s="29">
        <v>23.760999999999999</v>
      </c>
      <c r="K687" s="8">
        <f t="shared" si="136"/>
        <v>1.3758647143118059</v>
      </c>
      <c r="L687" s="8">
        <f t="shared" si="137"/>
        <v>7.773215767138967</v>
      </c>
      <c r="M687" s="8"/>
      <c r="N687" s="8"/>
      <c r="O687" s="8">
        <v>2.1840000000000002</v>
      </c>
      <c r="P687" s="8">
        <f>1.054+2.318+0.167+0.675</f>
        <v>4.2139999999999995</v>
      </c>
      <c r="Q687" s="8">
        <v>0.70599999999999996</v>
      </c>
      <c r="R687" s="8">
        <f>0.527+0.59+0.433</f>
        <v>1.55</v>
      </c>
      <c r="S687" s="8"/>
      <c r="T687" s="8"/>
      <c r="U687" s="8"/>
      <c r="V687" s="8">
        <f t="shared" si="145"/>
        <v>1.9294871794871791</v>
      </c>
      <c r="W687" s="8">
        <f>R687/Q687</f>
        <v>2.1954674220963173</v>
      </c>
      <c r="X687" s="8"/>
      <c r="Y687" s="31">
        <f t="shared" si="138"/>
        <v>-0.31438917749098794</v>
      </c>
      <c r="Z687" s="31" t="str">
        <f t="shared" si="139"/>
        <v/>
      </c>
      <c r="AA687" s="31">
        <f t="shared" si="140"/>
        <v>-0.31438917749098794</v>
      </c>
    </row>
    <row r="688" spans="1:27" x14ac:dyDescent="0.25">
      <c r="A688" s="6" t="str">
        <f t="shared" si="134"/>
        <v>complete</v>
      </c>
      <c r="B688" s="6" t="s">
        <v>1197</v>
      </c>
      <c r="C688" s="6" t="str">
        <f t="shared" si="135"/>
        <v>HC4 574</v>
      </c>
      <c r="D688" s="6" t="s">
        <v>669</v>
      </c>
      <c r="E688" s="20">
        <v>574</v>
      </c>
      <c r="G688" s="6" t="s">
        <v>687</v>
      </c>
      <c r="H688" s="6" t="s">
        <v>977</v>
      </c>
      <c r="I688" s="8" t="s">
        <v>5</v>
      </c>
      <c r="J688" s="29">
        <v>43.826999999999998</v>
      </c>
      <c r="K688" s="8">
        <f t="shared" si="136"/>
        <v>1.6417417437993733</v>
      </c>
      <c r="L688" s="8">
        <f t="shared" si="137"/>
        <v>8.3854202518065772</v>
      </c>
      <c r="M688" s="8"/>
      <c r="N688" s="8"/>
      <c r="O688" s="8">
        <v>5.6520000000000001</v>
      </c>
      <c r="P688" s="8">
        <f>1.026+2.699+2.619+1.582</f>
        <v>7.9259999999999993</v>
      </c>
      <c r="Q688" s="8">
        <v>0.73</v>
      </c>
      <c r="R688" s="8">
        <f>0.538+0.52+0.541</f>
        <v>1.5990000000000002</v>
      </c>
      <c r="S688" s="8">
        <v>2.8540000000000001</v>
      </c>
      <c r="T688" s="8">
        <f>1.229+1.916</f>
        <v>3.145</v>
      </c>
      <c r="U688" s="8"/>
      <c r="V688" s="8">
        <f t="shared" si="145"/>
        <v>1.4023354564755837</v>
      </c>
      <c r="W688" s="8">
        <f>R688/Q688</f>
        <v>2.1904109589041099</v>
      </c>
      <c r="X688" s="8">
        <f>T688/S688</f>
        <v>1.1019621583742116</v>
      </c>
      <c r="Y688" s="31">
        <f t="shared" si="138"/>
        <v>-0.19448738368464738</v>
      </c>
      <c r="Z688" s="31" t="str">
        <f t="shared" si="139"/>
        <v/>
      </c>
      <c r="AA688" s="31">
        <f t="shared" si="140"/>
        <v>-0.19448738368464738</v>
      </c>
    </row>
    <row r="689" spans="1:27" x14ac:dyDescent="0.25">
      <c r="A689" s="6" t="str">
        <f t="shared" si="134"/>
        <v>complete</v>
      </c>
      <c r="B689" s="6" t="s">
        <v>1197</v>
      </c>
      <c r="C689" s="6" t="str">
        <f t="shared" si="135"/>
        <v>HC4 88104</v>
      </c>
      <c r="D689" s="6" t="s">
        <v>669</v>
      </c>
      <c r="E689" s="20">
        <v>88104</v>
      </c>
      <c r="G689" s="6" t="s">
        <v>692</v>
      </c>
      <c r="H689" s="6" t="s">
        <v>979</v>
      </c>
      <c r="I689" s="8" t="s">
        <v>5</v>
      </c>
      <c r="J689" s="29">
        <v>86.566069999999996</v>
      </c>
      <c r="K689" s="8">
        <f t="shared" si="136"/>
        <v>1.9373477014949243</v>
      </c>
      <c r="L689" s="8">
        <f t="shared" si="137"/>
        <v>9.0660781233965828</v>
      </c>
      <c r="M689" s="8"/>
      <c r="N689" s="8"/>
      <c r="O689" s="8">
        <v>8.9689999999999994</v>
      </c>
      <c r="P689" s="8">
        <f>2.179+3.277+1.808</f>
        <v>7.2639999999999993</v>
      </c>
      <c r="Q689" s="8">
        <v>1.931</v>
      </c>
      <c r="R689" s="8">
        <f>0.885+0.848+0.822</f>
        <v>2.5550000000000002</v>
      </c>
      <c r="S689" s="8"/>
      <c r="T689" s="8"/>
      <c r="U689" s="8"/>
      <c r="V689" s="8">
        <f t="shared" si="145"/>
        <v>0.80990076931653476</v>
      </c>
      <c r="W689" s="8">
        <f>R689/Q689</f>
        <v>1.3231486276540654</v>
      </c>
      <c r="X689" s="8"/>
      <c r="Y689" s="31">
        <f t="shared" si="138"/>
        <v>-2.7970917255373026E-2</v>
      </c>
      <c r="Z689" s="31" t="str">
        <f t="shared" si="139"/>
        <v/>
      </c>
      <c r="AA689" s="31">
        <f t="shared" si="140"/>
        <v>-2.7970917255373026E-2</v>
      </c>
    </row>
    <row r="690" spans="1:27" x14ac:dyDescent="0.25">
      <c r="A690" s="6" t="str">
        <f t="shared" si="134"/>
        <v>complete</v>
      </c>
      <c r="B690" s="6" t="s">
        <v>1197</v>
      </c>
      <c r="C690" s="6" t="str">
        <f t="shared" si="135"/>
        <v>HC4 88130</v>
      </c>
      <c r="D690" s="6" t="s">
        <v>669</v>
      </c>
      <c r="E690" s="20">
        <v>88130</v>
      </c>
      <c r="G690" s="6" t="s">
        <v>689</v>
      </c>
      <c r="I690" s="8" t="s">
        <v>5</v>
      </c>
      <c r="J690" s="29">
        <v>46.533110000000001</v>
      </c>
      <c r="K690" s="8">
        <f t="shared" si="136"/>
        <v>1.6677620791978442</v>
      </c>
      <c r="L690" s="8">
        <f t="shared" si="137"/>
        <v>8.4453342882098017</v>
      </c>
      <c r="M690" s="8">
        <v>3.2919999999999998</v>
      </c>
      <c r="N690" s="8">
        <f>1.231+1.622</f>
        <v>2.8530000000000002</v>
      </c>
      <c r="O690" s="8">
        <v>2.1749999999999998</v>
      </c>
      <c r="P690" s="8">
        <f>0.968+1.068+1.092+0.441</f>
        <v>3.569</v>
      </c>
      <c r="Q690" s="8"/>
      <c r="R690" s="8"/>
      <c r="S690" s="8"/>
      <c r="T690" s="8"/>
      <c r="U690" s="8">
        <f>N690/M690</f>
        <v>0.86664641555285549</v>
      </c>
      <c r="V690" s="8">
        <f t="shared" si="145"/>
        <v>1.6409195402298851</v>
      </c>
      <c r="W690" s="8"/>
      <c r="X690" s="8"/>
      <c r="Y690" s="31">
        <f t="shared" si="138"/>
        <v>-9.8222369300969073E-2</v>
      </c>
      <c r="Z690" s="31" t="str">
        <f t="shared" si="139"/>
        <v/>
      </c>
      <c r="AA690" s="31">
        <f t="shared" si="140"/>
        <v>-9.8222369300969073E-2</v>
      </c>
    </row>
    <row r="691" spans="1:27" x14ac:dyDescent="0.25">
      <c r="A691" s="6" t="str">
        <f t="shared" si="134"/>
        <v>complete</v>
      </c>
      <c r="B691" s="6" t="s">
        <v>1197</v>
      </c>
      <c r="C691" s="6" t="str">
        <f t="shared" si="135"/>
        <v>HC4 900</v>
      </c>
      <c r="D691" s="6" t="s">
        <v>669</v>
      </c>
      <c r="E691" s="20">
        <v>900</v>
      </c>
      <c r="F691" s="6" t="s">
        <v>180</v>
      </c>
      <c r="G691" s="6" t="s">
        <v>688</v>
      </c>
      <c r="H691" s="6" t="s">
        <v>977</v>
      </c>
      <c r="I691" s="8" t="s">
        <v>5</v>
      </c>
      <c r="J691" s="29">
        <v>20.876999999999999</v>
      </c>
      <c r="K691" s="8">
        <f t="shared" si="136"/>
        <v>1.3196680912146774</v>
      </c>
      <c r="L691" s="8">
        <f t="shared" si="137"/>
        <v>7.6438182605189136</v>
      </c>
      <c r="M691" s="8">
        <v>1.179</v>
      </c>
      <c r="N691" s="8">
        <f>0.278+0.922+0.612</f>
        <v>1.8120000000000003</v>
      </c>
      <c r="O691" s="8">
        <v>1.5960000000000001</v>
      </c>
      <c r="P691" s="8">
        <f>0.526+0.86+0.332+0.828+0.763</f>
        <v>3.3090000000000002</v>
      </c>
      <c r="Q691" s="8">
        <v>0.46899999999999997</v>
      </c>
      <c r="R691" s="8">
        <f>0.386+0.445</f>
        <v>0.83099999999999996</v>
      </c>
      <c r="S691" s="8"/>
      <c r="T691" s="8"/>
      <c r="U691" s="8">
        <f>N691/M691</f>
        <v>1.5368956743002546</v>
      </c>
      <c r="V691" s="8">
        <f t="shared" si="145"/>
        <v>2.0733082706766917</v>
      </c>
      <c r="W691" s="8">
        <f>R691/Q691</f>
        <v>1.7718550106609807</v>
      </c>
      <c r="X691" s="8"/>
      <c r="Y691" s="31">
        <f t="shared" si="138"/>
        <v>-0.25382719604140536</v>
      </c>
      <c r="Z691" s="31" t="str">
        <f t="shared" si="139"/>
        <v/>
      </c>
      <c r="AA691" s="31">
        <f t="shared" si="140"/>
        <v>-0.25382719604140536</v>
      </c>
    </row>
    <row r="692" spans="1:27" x14ac:dyDescent="0.25">
      <c r="A692" s="6" t="str">
        <f t="shared" si="134"/>
        <v>complete</v>
      </c>
      <c r="B692" s="6" t="s">
        <v>1197</v>
      </c>
      <c r="C692" s="6" t="str">
        <f t="shared" si="135"/>
        <v>HC4 906</v>
      </c>
      <c r="D692" s="6" t="s">
        <v>669</v>
      </c>
      <c r="E692" s="20">
        <v>906</v>
      </c>
      <c r="F692" s="6" t="s">
        <v>154</v>
      </c>
      <c r="G692" s="6" t="s">
        <v>677</v>
      </c>
      <c r="H692" s="6" t="s">
        <v>979</v>
      </c>
      <c r="I692" s="6" t="s">
        <v>5</v>
      </c>
      <c r="J692" s="29">
        <v>42.511000000000003</v>
      </c>
      <c r="K692" s="8">
        <f t="shared" si="136"/>
        <v>1.6285013211368202</v>
      </c>
      <c r="L692" s="8">
        <f t="shared" si="137"/>
        <v>8.3549330519588434</v>
      </c>
      <c r="M692" s="8"/>
      <c r="N692" s="8"/>
      <c r="O692" s="8">
        <v>3.476</v>
      </c>
      <c r="P692" s="8">
        <f>1.809+1.508</f>
        <v>3.3170000000000002</v>
      </c>
      <c r="Q692" s="8">
        <v>0.79500000000000004</v>
      </c>
      <c r="R692" s="8">
        <f>0.545+0.518</f>
        <v>1.0630000000000002</v>
      </c>
      <c r="S692" s="8">
        <v>4.7169999999999996</v>
      </c>
      <c r="T692" s="8">
        <f>1.603+1.871+0.917</f>
        <v>4.391</v>
      </c>
      <c r="U692" s="8"/>
      <c r="V692" s="8">
        <f t="shared" si="145"/>
        <v>0.9542577675489069</v>
      </c>
      <c r="W692" s="8">
        <f>R692/Q692</f>
        <v>1.3371069182389939</v>
      </c>
      <c r="X692" s="8">
        <f>T692/S692</f>
        <v>0.93088827644689431</v>
      </c>
      <c r="Y692" s="31">
        <f t="shared" si="138"/>
        <v>-3.1038376891257945E-2</v>
      </c>
      <c r="Z692" s="31" t="str">
        <f t="shared" si="139"/>
        <v/>
      </c>
      <c r="AA692" s="31">
        <f t="shared" si="140"/>
        <v>-3.1038376891257945E-2</v>
      </c>
    </row>
    <row r="693" spans="1:27" x14ac:dyDescent="0.25">
      <c r="A693" s="6" t="str">
        <f t="shared" si="134"/>
        <v>fragment</v>
      </c>
      <c r="B693" s="6" t="s">
        <v>696</v>
      </c>
      <c r="C693" s="6" t="str">
        <f t="shared" si="135"/>
        <v>HC43 428</v>
      </c>
      <c r="D693" s="6" t="s">
        <v>693</v>
      </c>
      <c r="E693" s="20">
        <v>428</v>
      </c>
      <c r="F693" s="6" t="s">
        <v>154</v>
      </c>
      <c r="G693" s="6" t="s">
        <v>698</v>
      </c>
      <c r="H693" s="6" t="s">
        <v>979</v>
      </c>
      <c r="I693" s="6" t="s">
        <v>20</v>
      </c>
      <c r="J693" s="29"/>
      <c r="K693" s="8" t="str">
        <f t="shared" si="136"/>
        <v/>
      </c>
      <c r="L693" s="8" t="str">
        <f t="shared" si="137"/>
        <v/>
      </c>
      <c r="M693" s="8"/>
      <c r="N693" s="8"/>
      <c r="O693" s="8"/>
      <c r="P693" s="8"/>
      <c r="Q693" s="8"/>
      <c r="R693" s="8"/>
      <c r="S693" s="8">
        <v>3.7989999999999999</v>
      </c>
      <c r="T693" s="8">
        <f>0.765+1.392+1.482+0.329+0.961+1.424</f>
        <v>6.3529999999999998</v>
      </c>
      <c r="U693" s="8"/>
      <c r="V693" s="8"/>
      <c r="W693" s="8"/>
      <c r="X693" s="8">
        <f>T693/S693</f>
        <v>1.6722821795209266</v>
      </c>
      <c r="Y693" s="31">
        <f t="shared" si="138"/>
        <v>-0.22330956178054145</v>
      </c>
      <c r="Z693" s="31">
        <f t="shared" si="139"/>
        <v>-0.22330956178054145</v>
      </c>
      <c r="AA693" s="31" t="str">
        <f t="shared" si="140"/>
        <v/>
      </c>
    </row>
    <row r="694" spans="1:27" x14ac:dyDescent="0.25">
      <c r="A694" s="6" t="str">
        <f t="shared" si="134"/>
        <v>fragment</v>
      </c>
      <c r="B694" s="6" t="s">
        <v>696</v>
      </c>
      <c r="C694" s="6" t="str">
        <f t="shared" si="135"/>
        <v>HC43 428</v>
      </c>
      <c r="D694" s="6" t="s">
        <v>693</v>
      </c>
      <c r="E694" s="20">
        <v>428</v>
      </c>
      <c r="F694" s="6" t="s">
        <v>154</v>
      </c>
      <c r="G694" s="6" t="s">
        <v>699</v>
      </c>
      <c r="H694" s="6" t="s">
        <v>979</v>
      </c>
      <c r="I694" s="6" t="s">
        <v>20</v>
      </c>
      <c r="J694" s="29"/>
      <c r="K694" s="8" t="str">
        <f t="shared" si="136"/>
        <v/>
      </c>
      <c r="L694" s="8" t="str">
        <f t="shared" si="137"/>
        <v/>
      </c>
      <c r="M694" s="8"/>
      <c r="N694" s="8"/>
      <c r="O694" s="8">
        <v>4.6420000000000003</v>
      </c>
      <c r="P694" s="8">
        <f>1.07+0.99+1.807+1.978+0.808</f>
        <v>6.6529999999999996</v>
      </c>
      <c r="Q694" s="8"/>
      <c r="R694" s="8"/>
      <c r="S694" s="8"/>
      <c r="T694" s="8"/>
      <c r="U694" s="8"/>
      <c r="V694" s="8">
        <f t="shared" ref="V694:V699" si="146">P694/O694</f>
        <v>1.4332184403274448</v>
      </c>
      <c r="W694" s="8"/>
      <c r="X694" s="8"/>
      <c r="Y694" s="31">
        <f t="shared" si="138"/>
        <v>-0.15631238732615027</v>
      </c>
      <c r="Z694" s="31">
        <f t="shared" si="139"/>
        <v>-0.15631238732615027</v>
      </c>
      <c r="AA694" s="31" t="str">
        <f t="shared" si="140"/>
        <v/>
      </c>
    </row>
    <row r="695" spans="1:27" x14ac:dyDescent="0.25">
      <c r="A695" s="6" t="str">
        <f t="shared" si="134"/>
        <v>fragment</v>
      </c>
      <c r="B695" s="6" t="s">
        <v>696</v>
      </c>
      <c r="C695" s="6" t="str">
        <f t="shared" si="135"/>
        <v>HC43 428</v>
      </c>
      <c r="D695" s="6" t="s">
        <v>693</v>
      </c>
      <c r="E695" s="20">
        <v>428</v>
      </c>
      <c r="F695" s="6" t="s">
        <v>154</v>
      </c>
      <c r="G695" s="6" t="s">
        <v>700</v>
      </c>
      <c r="H695" s="6" t="s">
        <v>979</v>
      </c>
      <c r="I695" s="6" t="s">
        <v>20</v>
      </c>
      <c r="J695" s="29"/>
      <c r="K695" s="8" t="str">
        <f t="shared" si="136"/>
        <v/>
      </c>
      <c r="L695" s="8" t="str">
        <f t="shared" si="137"/>
        <v/>
      </c>
      <c r="M695" s="8"/>
      <c r="N695" s="8"/>
      <c r="O695" s="8">
        <v>13.459</v>
      </c>
      <c r="P695" s="8">
        <f>2.477+2.902+2.404+2.28</f>
        <v>10.062999999999999</v>
      </c>
      <c r="Q695" s="8"/>
      <c r="R695" s="8"/>
      <c r="S695" s="8"/>
      <c r="T695" s="8"/>
      <c r="U695" s="8"/>
      <c r="V695" s="8">
        <f t="shared" si="146"/>
        <v>0.74767813359090562</v>
      </c>
      <c r="W695" s="8"/>
      <c r="X695" s="8"/>
      <c r="Y695" s="31">
        <f t="shared" si="138"/>
        <v>0.12628532043620527</v>
      </c>
      <c r="Z695" s="31">
        <f t="shared" si="139"/>
        <v>0.12628532043620527</v>
      </c>
      <c r="AA695" s="31" t="str">
        <f t="shared" si="140"/>
        <v/>
      </c>
    </row>
    <row r="696" spans="1:27" x14ac:dyDescent="0.25">
      <c r="A696" s="6" t="str">
        <f t="shared" si="134"/>
        <v>complete</v>
      </c>
      <c r="B696" s="6" t="s">
        <v>696</v>
      </c>
      <c r="C696" s="6" t="str">
        <f t="shared" si="135"/>
        <v>HC43 517</v>
      </c>
      <c r="D696" s="6" t="s">
        <v>693</v>
      </c>
      <c r="E696" s="20">
        <v>517</v>
      </c>
      <c r="F696" s="6" t="s">
        <v>161</v>
      </c>
      <c r="G696" s="6" t="s">
        <v>701</v>
      </c>
      <c r="H696" s="6" t="s">
        <v>977</v>
      </c>
      <c r="I696" s="6" t="s">
        <v>20</v>
      </c>
      <c r="J696" s="29">
        <v>61.527000000000001</v>
      </c>
      <c r="K696" s="8">
        <f t="shared" si="136"/>
        <v>1.7890657398042826</v>
      </c>
      <c r="L696" s="8">
        <f t="shared" si="137"/>
        <v>8.7246462888477971</v>
      </c>
      <c r="M696" s="8"/>
      <c r="N696" s="8"/>
      <c r="O696" s="8">
        <v>7.532</v>
      </c>
      <c r="P696" s="8">
        <f>1.545+2.393+1.725+1.107</f>
        <v>6.7700000000000005</v>
      </c>
      <c r="Q696" s="8"/>
      <c r="R696" s="8"/>
      <c r="S696" s="8">
        <v>7.61</v>
      </c>
      <c r="T696" s="8">
        <f>1.097+1.638+2.424+0.23+2.316+0.143+1.865+0.839+1.231</f>
        <v>11.782999999999999</v>
      </c>
      <c r="U696" s="8"/>
      <c r="V696" s="8">
        <f t="shared" si="146"/>
        <v>0.89883165161975576</v>
      </c>
      <c r="W696" s="8"/>
      <c r="X696" s="8">
        <f>T696/S696</f>
        <v>1.5483574244415241</v>
      </c>
      <c r="Y696" s="31">
        <f t="shared" si="138"/>
        <v>-8.7637529682003792E-2</v>
      </c>
      <c r="Z696" s="31" t="str">
        <f t="shared" si="139"/>
        <v/>
      </c>
      <c r="AA696" s="31">
        <f t="shared" si="140"/>
        <v>-8.7637529682003792E-2</v>
      </c>
    </row>
    <row r="697" spans="1:27" x14ac:dyDescent="0.25">
      <c r="A697" s="6" t="str">
        <f t="shared" si="134"/>
        <v>complete</v>
      </c>
      <c r="B697" s="6" t="s">
        <v>696</v>
      </c>
      <c r="C697" s="6" t="str">
        <f t="shared" si="135"/>
        <v>HC43 517</v>
      </c>
      <c r="D697" s="6" t="s">
        <v>693</v>
      </c>
      <c r="E697" s="20">
        <v>517</v>
      </c>
      <c r="F697" s="6" t="s">
        <v>161</v>
      </c>
      <c r="G697" s="6" t="s">
        <v>703</v>
      </c>
      <c r="H697" s="6" t="s">
        <v>977</v>
      </c>
      <c r="I697" s="6" t="s">
        <v>20</v>
      </c>
      <c r="J697" s="29">
        <f>6.823*2</f>
        <v>13.646000000000001</v>
      </c>
      <c r="K697" s="8">
        <f t="shared" si="136"/>
        <v>1.1350053669438873</v>
      </c>
      <c r="L697" s="8">
        <f t="shared" si="137"/>
        <v>7.2186166243813235</v>
      </c>
      <c r="M697" s="8"/>
      <c r="N697" s="8"/>
      <c r="O697" s="8">
        <v>1.738</v>
      </c>
      <c r="P697" s="8">
        <f>0.625+0.994+0.068+0.516</f>
        <v>2.2030000000000003</v>
      </c>
      <c r="Q697" s="8"/>
      <c r="R697" s="8"/>
      <c r="S697" s="8">
        <v>1.5369999999999999</v>
      </c>
      <c r="T697" s="8">
        <f>1.06+1.094</f>
        <v>2.1539999999999999</v>
      </c>
      <c r="U697" s="8"/>
      <c r="V697" s="8">
        <f t="shared" si="146"/>
        <v>1.2675489067894132</v>
      </c>
      <c r="W697" s="8"/>
      <c r="X697" s="8">
        <f>T697/S697</f>
        <v>1.4014313597918022</v>
      </c>
      <c r="Y697" s="31">
        <f t="shared" si="138"/>
        <v>-0.12531536712818389</v>
      </c>
      <c r="Z697" s="31" t="str">
        <f t="shared" si="139"/>
        <v/>
      </c>
      <c r="AA697" s="31">
        <f t="shared" si="140"/>
        <v>-0.12531536712818389</v>
      </c>
    </row>
    <row r="698" spans="1:27" x14ac:dyDescent="0.25">
      <c r="A698" s="6" t="str">
        <f t="shared" si="134"/>
        <v>fragment</v>
      </c>
      <c r="B698" s="6" t="s">
        <v>696</v>
      </c>
      <c r="C698" s="6" t="str">
        <f t="shared" si="135"/>
        <v>HC43 517</v>
      </c>
      <c r="D698" s="6" t="s">
        <v>693</v>
      </c>
      <c r="E698" s="20">
        <v>517</v>
      </c>
      <c r="F698" s="6" t="s">
        <v>161</v>
      </c>
      <c r="G698" s="6" t="s">
        <v>704</v>
      </c>
      <c r="H698" s="6" t="s">
        <v>977</v>
      </c>
      <c r="I698" s="6" t="s">
        <v>20</v>
      </c>
      <c r="J698" s="29"/>
      <c r="K698" s="8" t="str">
        <f t="shared" si="136"/>
        <v/>
      </c>
      <c r="L698" s="8" t="str">
        <f t="shared" si="137"/>
        <v/>
      </c>
      <c r="M698" s="8"/>
      <c r="N698" s="8"/>
      <c r="O698" s="8">
        <v>1.986</v>
      </c>
      <c r="P698" s="8">
        <f>1.042+1.195+0.563</f>
        <v>2.8</v>
      </c>
      <c r="Q698" s="8">
        <v>3.2480000000000002</v>
      </c>
      <c r="R698" s="8">
        <f>0.58+1.876+2.063+0.59</f>
        <v>5.109</v>
      </c>
      <c r="S698" s="8"/>
      <c r="T698" s="8"/>
      <c r="U698" s="8"/>
      <c r="V698" s="8">
        <f t="shared" si="146"/>
        <v>1.4098690835850956</v>
      </c>
      <c r="W698" s="8">
        <f>R698/Q698</f>
        <v>1.5729679802955663</v>
      </c>
      <c r="X698" s="8"/>
      <c r="Y698" s="31">
        <f t="shared" si="138"/>
        <v>-0.17359953520724197</v>
      </c>
      <c r="Z698" s="31">
        <f t="shared" si="139"/>
        <v>-0.17359953520724197</v>
      </c>
      <c r="AA698" s="31" t="str">
        <f t="shared" si="140"/>
        <v/>
      </c>
    </row>
    <row r="699" spans="1:27" x14ac:dyDescent="0.25">
      <c r="A699" s="6" t="str">
        <f t="shared" si="134"/>
        <v>fragment</v>
      </c>
      <c r="B699" s="6" t="s">
        <v>696</v>
      </c>
      <c r="C699" s="6" t="str">
        <f t="shared" si="135"/>
        <v>HC43 517</v>
      </c>
      <c r="D699" s="6" t="s">
        <v>693</v>
      </c>
      <c r="E699" s="20">
        <v>517</v>
      </c>
      <c r="F699" s="6" t="s">
        <v>161</v>
      </c>
      <c r="G699" s="6" t="s">
        <v>705</v>
      </c>
      <c r="H699" s="6" t="s">
        <v>977</v>
      </c>
      <c r="I699" s="6" t="s">
        <v>20</v>
      </c>
      <c r="J699" s="29"/>
      <c r="K699" s="8" t="str">
        <f t="shared" si="136"/>
        <v/>
      </c>
      <c r="L699" s="8" t="str">
        <f t="shared" si="137"/>
        <v/>
      </c>
      <c r="M699" s="8"/>
      <c r="N699" s="8"/>
      <c r="O699" s="8">
        <v>2.5270000000000001</v>
      </c>
      <c r="P699" s="8">
        <f>0.519+1.219+1.364+0.805</f>
        <v>3.9070000000000005</v>
      </c>
      <c r="Q699" s="8"/>
      <c r="R699" s="8"/>
      <c r="S699" s="8">
        <v>2.67</v>
      </c>
      <c r="T699" s="8">
        <f>1.067+1.219+1.103</f>
        <v>3.3890000000000002</v>
      </c>
      <c r="U699" s="8"/>
      <c r="V699" s="8">
        <f t="shared" si="146"/>
        <v>1.5461020973486348</v>
      </c>
      <c r="W699" s="8"/>
      <c r="X699" s="8">
        <f>T699/S699</f>
        <v>1.2692883895131086</v>
      </c>
      <c r="Y699" s="31">
        <f t="shared" si="138"/>
        <v>-0.14850864314263534</v>
      </c>
      <c r="Z699" s="31">
        <f t="shared" si="139"/>
        <v>-0.14850864314263534</v>
      </c>
      <c r="AA699" s="31" t="str">
        <f t="shared" si="140"/>
        <v/>
      </c>
    </row>
    <row r="700" spans="1:27" x14ac:dyDescent="0.25">
      <c r="A700" s="6" t="str">
        <f t="shared" si="134"/>
        <v>fragment</v>
      </c>
      <c r="B700" s="6" t="s">
        <v>696</v>
      </c>
      <c r="C700" s="6" t="str">
        <f t="shared" si="135"/>
        <v>HC43 517</v>
      </c>
      <c r="D700" s="6" t="s">
        <v>693</v>
      </c>
      <c r="E700" s="20">
        <v>517</v>
      </c>
      <c r="F700" s="6" t="s">
        <v>161</v>
      </c>
      <c r="G700" s="6" t="s">
        <v>706</v>
      </c>
      <c r="H700" s="6" t="s">
        <v>977</v>
      </c>
      <c r="I700" s="6" t="s">
        <v>20</v>
      </c>
      <c r="J700" s="29"/>
      <c r="K700" s="8" t="str">
        <f t="shared" si="136"/>
        <v/>
      </c>
      <c r="L700" s="8" t="str">
        <f t="shared" si="137"/>
        <v/>
      </c>
      <c r="M700" s="8"/>
      <c r="N700" s="8"/>
      <c r="O700" s="8"/>
      <c r="P700" s="8"/>
      <c r="Q700" s="8">
        <v>3.8769999999999998</v>
      </c>
      <c r="R700" s="8">
        <f>0.925+1.874+0.88</f>
        <v>3.6790000000000003</v>
      </c>
      <c r="S700" s="8">
        <v>5.2649999999999997</v>
      </c>
      <c r="T700" s="8">
        <f>1.123+2.771+1.311</f>
        <v>5.2050000000000001</v>
      </c>
      <c r="U700" s="8"/>
      <c r="V700" s="8"/>
      <c r="W700" s="8">
        <f>R700/Q700</f>
        <v>0.94892958473046185</v>
      </c>
      <c r="X700" s="8">
        <f>T700/S700</f>
        <v>0.98860398860398868</v>
      </c>
      <c r="Y700" s="31">
        <f t="shared" si="138"/>
        <v>1.3780759021084226E-2</v>
      </c>
      <c r="Z700" s="31">
        <f t="shared" si="139"/>
        <v>1.3780759021084226E-2</v>
      </c>
      <c r="AA700" s="31" t="str">
        <f t="shared" si="140"/>
        <v/>
      </c>
    </row>
    <row r="701" spans="1:27" x14ac:dyDescent="0.25">
      <c r="A701" s="6" t="str">
        <f t="shared" si="134"/>
        <v>fragment</v>
      </c>
      <c r="B701" s="6" t="s">
        <v>696</v>
      </c>
      <c r="C701" s="6" t="str">
        <f t="shared" si="135"/>
        <v>HC43 517</v>
      </c>
      <c r="D701" s="6" t="s">
        <v>693</v>
      </c>
      <c r="E701" s="20">
        <v>517</v>
      </c>
      <c r="F701" s="6" t="s">
        <v>161</v>
      </c>
      <c r="G701" s="6" t="s">
        <v>707</v>
      </c>
      <c r="H701" s="6" t="s">
        <v>977</v>
      </c>
      <c r="I701" s="6" t="s">
        <v>20</v>
      </c>
      <c r="J701" s="29"/>
      <c r="K701" s="8" t="str">
        <f t="shared" si="136"/>
        <v/>
      </c>
      <c r="L701" s="8" t="str">
        <f t="shared" si="137"/>
        <v/>
      </c>
      <c r="M701" s="8"/>
      <c r="N701" s="8"/>
      <c r="O701" s="8">
        <v>2.484</v>
      </c>
      <c r="P701" s="8">
        <f>1.609+0.317+1.035</f>
        <v>2.9609999999999999</v>
      </c>
      <c r="Q701" s="8">
        <v>2.2120000000000002</v>
      </c>
      <c r="R701" s="8">
        <f>1.055+1.115+0.585+0.704</f>
        <v>3.4589999999999996</v>
      </c>
      <c r="S701" s="8"/>
      <c r="T701" s="8"/>
      <c r="U701" s="8"/>
      <c r="V701" s="8">
        <f>P701/O701</f>
        <v>1.1920289855072463</v>
      </c>
      <c r="W701" s="8">
        <f>R701/Q701</f>
        <v>1.5637432188065097</v>
      </c>
      <c r="X701" s="8"/>
      <c r="Y701" s="31">
        <f t="shared" si="138"/>
        <v>-0.13921331971301409</v>
      </c>
      <c r="Z701" s="31">
        <f t="shared" si="139"/>
        <v>-0.13921331971301409</v>
      </c>
      <c r="AA701" s="31" t="str">
        <f t="shared" si="140"/>
        <v/>
      </c>
    </row>
    <row r="702" spans="1:27" x14ac:dyDescent="0.25">
      <c r="A702" s="6" t="str">
        <f t="shared" si="134"/>
        <v>complete</v>
      </c>
      <c r="B702" s="6" t="s">
        <v>696</v>
      </c>
      <c r="C702" s="6" t="str">
        <f t="shared" si="135"/>
        <v>HC43 517</v>
      </c>
      <c r="D702" s="6" t="s">
        <v>693</v>
      </c>
      <c r="E702" s="20">
        <v>517</v>
      </c>
      <c r="F702" s="6" t="s">
        <v>161</v>
      </c>
      <c r="G702" s="6" t="s">
        <v>708</v>
      </c>
      <c r="H702" s="6" t="s">
        <v>977</v>
      </c>
      <c r="I702" s="6" t="s">
        <v>20</v>
      </c>
      <c r="J702" s="29">
        <f>14.205*2</f>
        <v>28.41</v>
      </c>
      <c r="K702" s="8">
        <f t="shared" si="136"/>
        <v>1.4534712337229359</v>
      </c>
      <c r="L702" s="8">
        <f t="shared" si="137"/>
        <v>7.9519113818541882</v>
      </c>
      <c r="M702" s="8"/>
      <c r="N702" s="8"/>
      <c r="O702" s="8">
        <v>2.14</v>
      </c>
      <c r="P702" s="8">
        <f>0.923+0.149+1.503+0.588</f>
        <v>3.1630000000000003</v>
      </c>
      <c r="Q702" s="8"/>
      <c r="R702" s="8"/>
      <c r="S702" s="8">
        <v>3.0059999999999998</v>
      </c>
      <c r="T702" s="8">
        <f>0.96+1.488+1.065+0.804</f>
        <v>4.3170000000000002</v>
      </c>
      <c r="U702" s="8"/>
      <c r="V702" s="8">
        <f>P702/O702</f>
        <v>1.4780373831775702</v>
      </c>
      <c r="W702" s="8"/>
      <c r="X702" s="8">
        <f>T702/S702</f>
        <v>1.4361277445109781</v>
      </c>
      <c r="Y702" s="31">
        <f t="shared" si="138"/>
        <v>-0.16348416124566351</v>
      </c>
      <c r="Z702" s="31" t="str">
        <f t="shared" si="139"/>
        <v/>
      </c>
      <c r="AA702" s="31">
        <f t="shared" si="140"/>
        <v>-0.16348416124566351</v>
      </c>
    </row>
    <row r="703" spans="1:27" x14ac:dyDescent="0.25">
      <c r="A703" s="6" t="str">
        <f t="shared" si="134"/>
        <v>complete</v>
      </c>
      <c r="B703" s="6" t="s">
        <v>696</v>
      </c>
      <c r="C703" s="6" t="str">
        <f t="shared" si="135"/>
        <v>HC43 517</v>
      </c>
      <c r="D703" s="6" t="s">
        <v>693</v>
      </c>
      <c r="E703" s="20">
        <v>517</v>
      </c>
      <c r="F703" s="6" t="s">
        <v>161</v>
      </c>
      <c r="G703" s="6" t="s">
        <v>709</v>
      </c>
      <c r="H703" s="6" t="s">
        <v>977</v>
      </c>
      <c r="I703" s="6" t="s">
        <v>20</v>
      </c>
      <c r="J703" s="29">
        <f>7.865*2</f>
        <v>15.73</v>
      </c>
      <c r="K703" s="8">
        <f t="shared" si="136"/>
        <v>1.1967287226232868</v>
      </c>
      <c r="L703" s="8">
        <f t="shared" si="137"/>
        <v>7.3607399030582776</v>
      </c>
      <c r="M703" s="8"/>
      <c r="N703" s="8"/>
      <c r="O703" s="8">
        <v>2.5259999999999998</v>
      </c>
      <c r="P703" s="8">
        <f>0.791+0.127+1.914+0.598</f>
        <v>3.4299999999999997</v>
      </c>
      <c r="Q703" s="8"/>
      <c r="R703" s="8"/>
      <c r="S703" s="8"/>
      <c r="T703" s="8"/>
      <c r="U703" s="8"/>
      <c r="V703" s="8">
        <f>P703/O703</f>
        <v>1.3578780680918447</v>
      </c>
      <c r="W703" s="8"/>
      <c r="X703" s="8"/>
      <c r="Y703" s="31">
        <f t="shared" si="138"/>
        <v>-0.13286077382345851</v>
      </c>
      <c r="Z703" s="31" t="str">
        <f t="shared" si="139"/>
        <v/>
      </c>
      <c r="AA703" s="31">
        <f t="shared" si="140"/>
        <v>-0.13286077382345851</v>
      </c>
    </row>
    <row r="704" spans="1:27" x14ac:dyDescent="0.25">
      <c r="A704" s="6" t="str">
        <f t="shared" si="134"/>
        <v>complete</v>
      </c>
      <c r="B704" s="6" t="s">
        <v>696</v>
      </c>
      <c r="C704" s="6" t="str">
        <f t="shared" si="135"/>
        <v>HC43 517</v>
      </c>
      <c r="D704" s="6" t="s">
        <v>693</v>
      </c>
      <c r="E704" s="20">
        <v>517</v>
      </c>
      <c r="F704" s="6" t="s">
        <v>161</v>
      </c>
      <c r="G704" s="6" t="s">
        <v>710</v>
      </c>
      <c r="H704" s="6" t="s">
        <v>977</v>
      </c>
      <c r="I704" s="6" t="s">
        <v>20</v>
      </c>
      <c r="J704" s="29">
        <f>25.488*2</f>
        <v>50.975999999999999</v>
      </c>
      <c r="K704" s="8">
        <f t="shared" si="136"/>
        <v>1.7073657541210374</v>
      </c>
      <c r="L704" s="8">
        <f t="shared" si="137"/>
        <v>8.5365251197157299</v>
      </c>
      <c r="M704" s="8"/>
      <c r="N704" s="8"/>
      <c r="O704" s="8">
        <v>5.5750000000000002</v>
      </c>
      <c r="P704" s="8">
        <f>1.167+1.835+0.175+0.887+1.044</f>
        <v>5.1080000000000005</v>
      </c>
      <c r="Q704" s="8"/>
      <c r="R704" s="8"/>
      <c r="S704" s="8">
        <v>2.2829999999999999</v>
      </c>
      <c r="T704" s="8">
        <f>0.611+1.035+0.958+0.942+1.035</f>
        <v>4.5810000000000004</v>
      </c>
      <c r="U704" s="8"/>
      <c r="V704" s="8">
        <f>P704/O704</f>
        <v>0.91623318385650232</v>
      </c>
      <c r="W704" s="8"/>
      <c r="X704" s="8">
        <f>T704/S704</f>
        <v>2.0065703022339032</v>
      </c>
      <c r="Y704" s="31">
        <f t="shared" si="138"/>
        <v>-0.16476962100185039</v>
      </c>
      <c r="Z704" s="31" t="str">
        <f t="shared" si="139"/>
        <v/>
      </c>
      <c r="AA704" s="31">
        <f t="shared" si="140"/>
        <v>-0.16476962100185039</v>
      </c>
    </row>
    <row r="705" spans="1:27" x14ac:dyDescent="0.25">
      <c r="A705" s="6" t="str">
        <f t="shared" si="134"/>
        <v>complete</v>
      </c>
      <c r="B705" s="6" t="s">
        <v>694</v>
      </c>
      <c r="C705" s="6" t="str">
        <f t="shared" si="135"/>
        <v>HC43 517</v>
      </c>
      <c r="D705" s="6" t="s">
        <v>693</v>
      </c>
      <c r="E705" s="20">
        <v>517</v>
      </c>
      <c r="F705" s="6" t="s">
        <v>161</v>
      </c>
      <c r="G705" s="6" t="s">
        <v>702</v>
      </c>
      <c r="H705" s="6" t="s">
        <v>977</v>
      </c>
      <c r="I705" s="6" t="s">
        <v>20</v>
      </c>
      <c r="J705" s="29">
        <v>30.234999999999999</v>
      </c>
      <c r="K705" s="8">
        <f t="shared" si="136"/>
        <v>1.4805099729419604</v>
      </c>
      <c r="L705" s="8">
        <f t="shared" si="137"/>
        <v>8.0141703797132671</v>
      </c>
      <c r="M705" s="8"/>
      <c r="N705" s="8"/>
      <c r="O705" s="8"/>
      <c r="P705" s="8"/>
      <c r="Q705" s="8"/>
      <c r="R705" s="8"/>
      <c r="S705" s="8">
        <v>4.0309999999999997</v>
      </c>
      <c r="T705" s="8">
        <f>0.744+1.529+1.714+0.953</f>
        <v>4.9399999999999995</v>
      </c>
      <c r="U705" s="8"/>
      <c r="V705" s="8"/>
      <c r="W705" s="8"/>
      <c r="X705" s="8">
        <f>T705/S705</f>
        <v>1.2255023567353014</v>
      </c>
      <c r="Y705" s="31">
        <f t="shared" si="138"/>
        <v>-8.8314150770595734E-2</v>
      </c>
      <c r="Z705" s="31" t="str">
        <f t="shared" si="139"/>
        <v/>
      </c>
      <c r="AA705" s="31">
        <f t="shared" si="140"/>
        <v>-8.8314150770595734E-2</v>
      </c>
    </row>
    <row r="706" spans="1:27" x14ac:dyDescent="0.25">
      <c r="A706" s="6" t="str">
        <f t="shared" ref="A706:A769" si="147">IF(J706&gt;0,"complete","fragment")</f>
        <v>complete</v>
      </c>
      <c r="B706" s="6" t="s">
        <v>694</v>
      </c>
      <c r="C706" s="6" t="str">
        <f t="shared" ref="C706:C769" si="148">D706&amp;" "&amp;E706</f>
        <v>HC43 88130</v>
      </c>
      <c r="D706" s="6" t="s">
        <v>693</v>
      </c>
      <c r="E706" s="20">
        <v>88130</v>
      </c>
      <c r="G706" s="6" t="s">
        <v>711</v>
      </c>
      <c r="I706" s="8" t="s">
        <v>20</v>
      </c>
      <c r="J706" s="29">
        <v>21.28359</v>
      </c>
      <c r="K706" s="8">
        <f t="shared" ref="K706:K769" si="149">IF(J706&gt;0,LOG(J706),"")</f>
        <v>1.328044884228788</v>
      </c>
      <c r="L706" s="8">
        <f t="shared" ref="L706:L769" si="150">IF(J706&gt;0,LN(J706*100),"")</f>
        <v>7.6631065392403013</v>
      </c>
      <c r="M706" s="8"/>
      <c r="N706" s="8"/>
      <c r="O706" s="8">
        <v>1.2649999999999999</v>
      </c>
      <c r="P706" s="8">
        <f>0.976+0.198+0.804</f>
        <v>1.978</v>
      </c>
      <c r="Q706" s="8"/>
      <c r="R706" s="8"/>
      <c r="S706" s="8">
        <v>2.2970000000000002</v>
      </c>
      <c r="T706" s="8">
        <f>0.778+1.024+0.834</f>
        <v>2.6360000000000001</v>
      </c>
      <c r="U706" s="8"/>
      <c r="V706" s="8">
        <f>P706/O706</f>
        <v>1.5636363636363637</v>
      </c>
      <c r="W706" s="8"/>
      <c r="X706" s="8">
        <f>T706/S706</f>
        <v>1.1475838049629952</v>
      </c>
      <c r="Y706" s="31">
        <f t="shared" ref="Y706:Y769" si="151">IF(COUNT(U706:X706)&gt;0,LOG(1/AVERAGE(U706:X706)),"")</f>
        <v>-0.13213479086718113</v>
      </c>
      <c r="Z706" s="31" t="str">
        <f t="shared" ref="Z706:Z769" si="152">IF(A706="fragment",IF(ISNUMBER(Y706)=TRUE,Y706,""),"")</f>
        <v/>
      </c>
      <c r="AA706" s="31">
        <f t="shared" ref="AA706:AA769" si="153">IF(A706="complete",IF(ISNUMBER(Y706)=TRUE,Y706,""),"")</f>
        <v>-0.13213479086718113</v>
      </c>
    </row>
    <row r="707" spans="1:27" x14ac:dyDescent="0.25">
      <c r="A707" s="6" t="str">
        <f t="shared" si="147"/>
        <v>complete</v>
      </c>
      <c r="B707" s="6" t="s">
        <v>696</v>
      </c>
      <c r="C707" s="6" t="str">
        <f t="shared" si="148"/>
        <v>HC43 900</v>
      </c>
      <c r="D707" s="6" t="s">
        <v>693</v>
      </c>
      <c r="E707" s="20">
        <v>900</v>
      </c>
      <c r="F707" s="6" t="s">
        <v>180</v>
      </c>
      <c r="G707" s="6" t="s">
        <v>697</v>
      </c>
      <c r="H707" s="6" t="s">
        <v>977</v>
      </c>
      <c r="I707" s="6" t="s">
        <v>20</v>
      </c>
      <c r="J707" s="29">
        <v>37.887</v>
      </c>
      <c r="K707" s="8">
        <f t="shared" si="149"/>
        <v>1.5784902179689138</v>
      </c>
      <c r="L707" s="8">
        <f t="shared" si="150"/>
        <v>8.2397782313202335</v>
      </c>
      <c r="M707" s="8"/>
      <c r="N707" s="8"/>
      <c r="O707" s="8">
        <v>3.5550000000000002</v>
      </c>
      <c r="P707" s="8">
        <f>1.322+0.851+0.718+0.739+1.163</f>
        <v>4.7930000000000001</v>
      </c>
      <c r="Q707" s="8">
        <v>2.137</v>
      </c>
      <c r="R707" s="8">
        <f>0.943+0.735+0.97+0.67</f>
        <v>3.3179999999999996</v>
      </c>
      <c r="S707" s="8"/>
      <c r="T707" s="8"/>
      <c r="U707" s="8"/>
      <c r="V707" s="8">
        <f>P707/O707</f>
        <v>1.3482419127988747</v>
      </c>
      <c r="W707" s="8">
        <f>R707/Q707</f>
        <v>1.5526438933083759</v>
      </c>
      <c r="X707" s="8"/>
      <c r="Y707" s="31">
        <f t="shared" si="151"/>
        <v>-0.1615006373945915</v>
      </c>
      <c r="Z707" s="31" t="str">
        <f t="shared" si="152"/>
        <v/>
      </c>
      <c r="AA707" s="31">
        <f t="shared" si="153"/>
        <v>-0.1615006373945915</v>
      </c>
    </row>
    <row r="708" spans="1:27" x14ac:dyDescent="0.25">
      <c r="A708" s="6" t="str">
        <f t="shared" si="147"/>
        <v>complete</v>
      </c>
      <c r="B708" s="6" t="s">
        <v>694</v>
      </c>
      <c r="C708" s="6" t="str">
        <f t="shared" si="148"/>
        <v>HC43 900</v>
      </c>
      <c r="D708" s="6" t="s">
        <v>693</v>
      </c>
      <c r="E708" s="20">
        <v>900</v>
      </c>
      <c r="F708" s="6" t="s">
        <v>180</v>
      </c>
      <c r="G708" s="6" t="s">
        <v>695</v>
      </c>
      <c r="H708" s="6" t="s">
        <v>977</v>
      </c>
      <c r="I708" s="6" t="s">
        <v>20</v>
      </c>
      <c r="J708" s="29">
        <v>9.8849999999999998</v>
      </c>
      <c r="K708" s="8">
        <f t="shared" si="149"/>
        <v>0.99497667364969111</v>
      </c>
      <c r="L708" s="8">
        <f t="shared" si="150"/>
        <v>6.8961886426106718</v>
      </c>
      <c r="M708" s="8"/>
      <c r="N708" s="8"/>
      <c r="O708" s="8"/>
      <c r="P708" s="8"/>
      <c r="Q708" s="8">
        <v>0.441</v>
      </c>
      <c r="R708" s="8">
        <f>0.614+0.265</f>
        <v>0.879</v>
      </c>
      <c r="S708" s="8"/>
      <c r="T708" s="8"/>
      <c r="U708" s="8"/>
      <c r="V708" s="8"/>
      <c r="W708" s="8">
        <f>R708/Q708</f>
        <v>1.9931972789115646</v>
      </c>
      <c r="X708" s="8"/>
      <c r="Y708" s="31">
        <f t="shared" si="151"/>
        <v>-0.29955028560593333</v>
      </c>
      <c r="Z708" s="31" t="str">
        <f t="shared" si="152"/>
        <v/>
      </c>
      <c r="AA708" s="31">
        <f t="shared" si="153"/>
        <v>-0.29955028560593333</v>
      </c>
    </row>
    <row r="709" spans="1:27" x14ac:dyDescent="0.25">
      <c r="A709" s="6" t="str">
        <f t="shared" si="147"/>
        <v>fragment</v>
      </c>
      <c r="B709" s="6" t="s">
        <v>1199</v>
      </c>
      <c r="C709" s="6" t="str">
        <f t="shared" si="148"/>
        <v xml:space="preserve">HC44 </v>
      </c>
      <c r="D709" s="6" t="s">
        <v>712</v>
      </c>
      <c r="E709" s="20"/>
      <c r="F709" s="6" t="s">
        <v>154</v>
      </c>
      <c r="G709" s="6" t="s">
        <v>713</v>
      </c>
      <c r="I709" s="6" t="s">
        <v>20</v>
      </c>
      <c r="J709" s="29"/>
      <c r="K709" s="8" t="str">
        <f t="shared" si="149"/>
        <v/>
      </c>
      <c r="L709" s="8" t="str">
        <f t="shared" si="150"/>
        <v/>
      </c>
      <c r="M709" s="8"/>
      <c r="N709" s="8"/>
      <c r="O709" s="8">
        <v>0.93600000000000005</v>
      </c>
      <c r="P709" s="8">
        <f>0.251 + 0.96 + 1.904 + 0.594</f>
        <v>3.7089999999999996</v>
      </c>
      <c r="Q709" s="8">
        <v>0.64</v>
      </c>
      <c r="R709" s="8">
        <f>0.429 + 1.063 + 0.623</f>
        <v>2.1150000000000002</v>
      </c>
      <c r="S709" s="8"/>
      <c r="T709" s="8"/>
      <c r="U709" s="8"/>
      <c r="V709" s="8">
        <f>P709/O709</f>
        <v>3.9626068376068369</v>
      </c>
      <c r="W709" s="8">
        <f>R709/Q709</f>
        <v>3.3046875000000004</v>
      </c>
      <c r="X709" s="8"/>
      <c r="Y709" s="31">
        <f t="shared" si="151"/>
        <v>-0.56034275454025761</v>
      </c>
      <c r="Z709" s="31">
        <f t="shared" si="152"/>
        <v>-0.56034275454025761</v>
      </c>
      <c r="AA709" s="31" t="str">
        <f t="shared" si="153"/>
        <v/>
      </c>
    </row>
    <row r="710" spans="1:27" x14ac:dyDescent="0.25">
      <c r="A710" s="6" t="str">
        <f t="shared" si="147"/>
        <v>complete</v>
      </c>
      <c r="B710" s="6" t="s">
        <v>1199</v>
      </c>
      <c r="C710" s="6" t="str">
        <f t="shared" si="148"/>
        <v xml:space="preserve">HC44 </v>
      </c>
      <c r="D710" s="6" t="s">
        <v>712</v>
      </c>
      <c r="E710" s="20"/>
      <c r="F710" s="6" t="s">
        <v>154</v>
      </c>
      <c r="G710" s="6" t="s">
        <v>714</v>
      </c>
      <c r="I710" s="6" t="s">
        <v>20</v>
      </c>
      <c r="J710" s="29">
        <v>14.36</v>
      </c>
      <c r="K710" s="8">
        <f t="shared" si="149"/>
        <v>1.1571544399062814</v>
      </c>
      <c r="L710" s="8">
        <f t="shared" si="150"/>
        <v>7.2696167496081694</v>
      </c>
      <c r="M710" s="8">
        <v>1.788</v>
      </c>
      <c r="N710" s="8">
        <f>0.721+1.719+1.939+0.932</f>
        <v>5.3109999999999999</v>
      </c>
      <c r="O710" s="8">
        <v>2.7330000000000001</v>
      </c>
      <c r="P710" s="8">
        <f>0.521+1.265+1.798+2.083+1.838+1.183+0.628</f>
        <v>9.3160000000000007</v>
      </c>
      <c r="Q710" s="8">
        <v>1.24</v>
      </c>
      <c r="R710" s="8">
        <f>0.773+1.473+1.129+0.422</f>
        <v>3.7970000000000002</v>
      </c>
      <c r="S710" s="8"/>
      <c r="T710" s="8"/>
      <c r="U710" s="8">
        <f>N710/M710</f>
        <v>2.9703579418344517</v>
      </c>
      <c r="V710" s="8">
        <f>P710/O710</f>
        <v>3.4087083790706183</v>
      </c>
      <c r="W710" s="8">
        <f>R710/Q710</f>
        <v>3.0620967741935488</v>
      </c>
      <c r="X710" s="8"/>
      <c r="Y710" s="31">
        <f t="shared" si="151"/>
        <v>-0.49790424536948019</v>
      </c>
      <c r="Z710" s="31" t="str">
        <f t="shared" si="152"/>
        <v/>
      </c>
      <c r="AA710" s="31">
        <f t="shared" si="153"/>
        <v>-0.49790424536948019</v>
      </c>
    </row>
    <row r="711" spans="1:27" x14ac:dyDescent="0.25">
      <c r="A711" s="6" t="str">
        <f t="shared" si="147"/>
        <v>complete</v>
      </c>
      <c r="B711" s="6" t="s">
        <v>1196</v>
      </c>
      <c r="C711" s="6" t="str">
        <f t="shared" si="148"/>
        <v>HC49 1855</v>
      </c>
      <c r="D711" s="6" t="s">
        <v>715</v>
      </c>
      <c r="E711" s="20">
        <v>1855</v>
      </c>
      <c r="G711" s="6" t="s">
        <v>733</v>
      </c>
      <c r="H711" s="6" t="s">
        <v>977</v>
      </c>
      <c r="I711" s="6" t="s">
        <v>20</v>
      </c>
      <c r="J711" s="29">
        <v>5.681</v>
      </c>
      <c r="K711" s="8">
        <f t="shared" si="149"/>
        <v>0.75442478927725865</v>
      </c>
      <c r="L711" s="8">
        <f t="shared" si="150"/>
        <v>6.3422974595630812</v>
      </c>
      <c r="M711" s="8"/>
      <c r="N711" s="8"/>
      <c r="O711" s="8"/>
      <c r="P711" s="8"/>
      <c r="Q711" s="8"/>
      <c r="R711" s="8"/>
      <c r="S711" s="8">
        <v>2.161</v>
      </c>
      <c r="T711" s="8">
        <f>0.711+1.705+1.253</f>
        <v>3.6689999999999996</v>
      </c>
      <c r="U711" s="8"/>
      <c r="V711" s="8"/>
      <c r="W711" s="8"/>
      <c r="X711" s="8">
        <f>T711/S711</f>
        <v>1.6978250809810271</v>
      </c>
      <c r="Y711" s="31">
        <f t="shared" si="151"/>
        <v>-0.22989294487270651</v>
      </c>
      <c r="Z711" s="31" t="str">
        <f t="shared" si="152"/>
        <v/>
      </c>
      <c r="AA711" s="31">
        <f t="shared" si="153"/>
        <v>-0.22989294487270651</v>
      </c>
    </row>
    <row r="712" spans="1:27" x14ac:dyDescent="0.25">
      <c r="A712" s="6" t="str">
        <f t="shared" si="147"/>
        <v>fragment</v>
      </c>
      <c r="B712" s="6" t="s">
        <v>1196</v>
      </c>
      <c r="C712" s="6" t="str">
        <f t="shared" si="148"/>
        <v>HC49 2088</v>
      </c>
      <c r="D712" s="22" t="s">
        <v>715</v>
      </c>
      <c r="E712" s="24">
        <v>2088</v>
      </c>
      <c r="F712" s="22"/>
      <c r="G712" s="22" t="s">
        <v>1019</v>
      </c>
      <c r="H712" s="22" t="s">
        <v>977</v>
      </c>
      <c r="I712" s="6" t="s">
        <v>20</v>
      </c>
      <c r="J712" s="30"/>
      <c r="K712" s="8" t="str">
        <f t="shared" si="149"/>
        <v/>
      </c>
      <c r="L712" s="8" t="str">
        <f t="shared" si="150"/>
        <v/>
      </c>
      <c r="M712" s="23"/>
      <c r="N712" s="23"/>
      <c r="O712" s="23">
        <v>0.98399999999999999</v>
      </c>
      <c r="P712" s="23">
        <f>0.074+0.485+1.12+0.779</f>
        <v>2.4580000000000002</v>
      </c>
      <c r="Q712" s="23">
        <v>0.49199999999999999</v>
      </c>
      <c r="R712" s="23">
        <f>0.147+0.755+0.532</f>
        <v>1.4340000000000002</v>
      </c>
      <c r="S712" s="8"/>
      <c r="T712" s="8"/>
      <c r="U712" s="8"/>
      <c r="V712" s="8">
        <v>2.4979674796747968</v>
      </c>
      <c r="W712" s="8">
        <v>2.9146341463414638</v>
      </c>
      <c r="X712" s="8"/>
      <c r="Y712" s="31">
        <f t="shared" si="151"/>
        <v>-0.43237606800759976</v>
      </c>
      <c r="Z712" s="31">
        <f t="shared" si="152"/>
        <v>-0.43237606800759976</v>
      </c>
      <c r="AA712" s="31" t="str">
        <f t="shared" si="153"/>
        <v/>
      </c>
    </row>
    <row r="713" spans="1:27" x14ac:dyDescent="0.25">
      <c r="A713" s="6" t="str">
        <f t="shared" si="147"/>
        <v>complete</v>
      </c>
      <c r="B713" s="6" t="s">
        <v>1196</v>
      </c>
      <c r="C713" s="6" t="str">
        <f t="shared" si="148"/>
        <v>HC49 2097</v>
      </c>
      <c r="D713" s="6" t="s">
        <v>715</v>
      </c>
      <c r="E713" s="20">
        <v>2097</v>
      </c>
      <c r="F713" s="6" t="s">
        <v>720</v>
      </c>
      <c r="G713" s="6" t="s">
        <v>732</v>
      </c>
      <c r="H713" s="6" t="s">
        <v>977</v>
      </c>
      <c r="I713" s="6" t="s">
        <v>20</v>
      </c>
      <c r="J713" s="29">
        <v>34.646999999999998</v>
      </c>
      <c r="K713" s="8">
        <f t="shared" si="149"/>
        <v>1.5396656360661272</v>
      </c>
      <c r="L713" s="8">
        <f t="shared" si="150"/>
        <v>8.1503813277891517</v>
      </c>
      <c r="M713" s="8">
        <v>1.9890000000000001</v>
      </c>
      <c r="N713" s="8">
        <f>0.978+0.803+1.086</f>
        <v>2.867</v>
      </c>
      <c r="O713" s="8">
        <v>2.746</v>
      </c>
      <c r="P713" s="8">
        <f>0.639+1.334+1.226+0.726</f>
        <v>3.9249999999999998</v>
      </c>
      <c r="Q713" s="8">
        <v>3.972</v>
      </c>
      <c r="R713" s="8">
        <f>0.349+1.956+2.138+1.519+0.234</f>
        <v>6.1959999999999997</v>
      </c>
      <c r="S713" s="8"/>
      <c r="T713" s="8"/>
      <c r="U713" s="8">
        <f>N713/M713</f>
        <v>1.4414278531925591</v>
      </c>
      <c r="V713" s="8">
        <f>P713/O713</f>
        <v>1.4293517844136925</v>
      </c>
      <c r="W713" s="8">
        <f>R713/Q713</f>
        <v>1.5599194360523665</v>
      </c>
      <c r="X713" s="8"/>
      <c r="Y713" s="31">
        <f t="shared" si="151"/>
        <v>-0.16935099969299747</v>
      </c>
      <c r="Z713" s="31" t="str">
        <f t="shared" si="152"/>
        <v/>
      </c>
      <c r="AA713" s="31">
        <f t="shared" si="153"/>
        <v>-0.16935099969299747</v>
      </c>
    </row>
    <row r="714" spans="1:27" x14ac:dyDescent="0.25">
      <c r="A714" s="6" t="str">
        <f t="shared" si="147"/>
        <v>fragment</v>
      </c>
      <c r="B714" s="6" t="s">
        <v>1196</v>
      </c>
      <c r="C714" s="6" t="str">
        <f t="shared" si="148"/>
        <v>HC49 2097</v>
      </c>
      <c r="D714" s="6" t="s">
        <v>715</v>
      </c>
      <c r="E714" s="20">
        <v>2097</v>
      </c>
      <c r="F714" s="6" t="s">
        <v>720</v>
      </c>
      <c r="G714" s="6" t="s">
        <v>721</v>
      </c>
      <c r="H714" s="6" t="s">
        <v>977</v>
      </c>
      <c r="I714" s="6" t="s">
        <v>20</v>
      </c>
      <c r="J714" s="29"/>
      <c r="K714" s="8" t="str">
        <f t="shared" si="149"/>
        <v/>
      </c>
      <c r="L714" s="8" t="str">
        <f t="shared" si="150"/>
        <v/>
      </c>
      <c r="M714" s="8"/>
      <c r="N714" s="8"/>
      <c r="O714" s="8"/>
      <c r="P714" s="8"/>
      <c r="Q714" s="8"/>
      <c r="R714" s="8"/>
      <c r="S714" s="8">
        <v>2.5150000000000001</v>
      </c>
      <c r="T714" s="8">
        <f>1.11+0.957+0.995+0.377+0.872</f>
        <v>4.3109999999999999</v>
      </c>
      <c r="U714" s="8"/>
      <c r="V714" s="8"/>
      <c r="W714" s="8"/>
      <c r="X714" s="8">
        <f>T714/S714</f>
        <v>1.7141153081510934</v>
      </c>
      <c r="Y714" s="31">
        <f t="shared" si="151"/>
        <v>-0.23404003346194191</v>
      </c>
      <c r="Z714" s="31">
        <f t="shared" si="152"/>
        <v>-0.23404003346194191</v>
      </c>
      <c r="AA714" s="31" t="str">
        <f t="shared" si="153"/>
        <v/>
      </c>
    </row>
    <row r="715" spans="1:27" x14ac:dyDescent="0.25">
      <c r="A715" s="6" t="str">
        <f t="shared" si="147"/>
        <v>fragment</v>
      </c>
      <c r="B715" s="6" t="s">
        <v>1196</v>
      </c>
      <c r="C715" s="6" t="str">
        <f t="shared" si="148"/>
        <v>HC49 2097</v>
      </c>
      <c r="D715" s="6" t="s">
        <v>715</v>
      </c>
      <c r="E715" s="20">
        <v>2097</v>
      </c>
      <c r="F715" s="6" t="s">
        <v>720</v>
      </c>
      <c r="G715" s="6" t="s">
        <v>722</v>
      </c>
      <c r="H715" s="6" t="s">
        <v>977</v>
      </c>
      <c r="I715" s="6" t="s">
        <v>20</v>
      </c>
      <c r="J715" s="29"/>
      <c r="K715" s="8" t="str">
        <f t="shared" si="149"/>
        <v/>
      </c>
      <c r="L715" s="8" t="str">
        <f t="shared" si="150"/>
        <v/>
      </c>
      <c r="M715" s="8"/>
      <c r="N715" s="8"/>
      <c r="O715" s="8">
        <v>1.1619999999999999</v>
      </c>
      <c r="P715" s="8">
        <f>0.658+0.826+0.649</f>
        <v>2.133</v>
      </c>
      <c r="Q715" s="8"/>
      <c r="R715" s="8"/>
      <c r="S715" s="8">
        <v>1.976</v>
      </c>
      <c r="T715" s="8">
        <f>0.792+1.159+1.114+0.574</f>
        <v>3.6390000000000002</v>
      </c>
      <c r="U715" s="8"/>
      <c r="V715" s="8">
        <f t="shared" ref="V715:V724" si="154">P715/O715</f>
        <v>1.8356282271944924</v>
      </c>
      <c r="W715" s="8"/>
      <c r="X715" s="8">
        <f>T715/S715</f>
        <v>1.841599190283401</v>
      </c>
      <c r="Y715" s="31">
        <f t="shared" si="151"/>
        <v>-0.26449049390071655</v>
      </c>
      <c r="Z715" s="31">
        <f t="shared" si="152"/>
        <v>-0.26449049390071655</v>
      </c>
      <c r="AA715" s="31" t="str">
        <f t="shared" si="153"/>
        <v/>
      </c>
    </row>
    <row r="716" spans="1:27" x14ac:dyDescent="0.25">
      <c r="A716" s="6" t="str">
        <f t="shared" si="147"/>
        <v>fragment</v>
      </c>
      <c r="B716" s="6" t="s">
        <v>1196</v>
      </c>
      <c r="C716" s="6" t="str">
        <f t="shared" si="148"/>
        <v>HC49 2097</v>
      </c>
      <c r="D716" s="6" t="s">
        <v>715</v>
      </c>
      <c r="E716" s="20">
        <v>2097</v>
      </c>
      <c r="F716" s="6" t="s">
        <v>720</v>
      </c>
      <c r="G716" s="6" t="s">
        <v>723</v>
      </c>
      <c r="H716" s="6" t="s">
        <v>977</v>
      </c>
      <c r="I716" s="6" t="s">
        <v>20</v>
      </c>
      <c r="J716" s="29"/>
      <c r="K716" s="8" t="str">
        <f t="shared" si="149"/>
        <v/>
      </c>
      <c r="L716" s="8" t="str">
        <f t="shared" si="150"/>
        <v/>
      </c>
      <c r="M716" s="8"/>
      <c r="N716" s="8"/>
      <c r="O716" s="8">
        <v>0.55500000000000005</v>
      </c>
      <c r="P716" s="8">
        <f>0.561+0.477+0.526+0.285+0.236</f>
        <v>2.085</v>
      </c>
      <c r="Q716" s="8"/>
      <c r="R716" s="8"/>
      <c r="S716" s="8"/>
      <c r="T716" s="8"/>
      <c r="U716" s="8"/>
      <c r="V716" s="8">
        <f t="shared" si="154"/>
        <v>3.7567567567567566</v>
      </c>
      <c r="W716" s="8"/>
      <c r="X716" s="8"/>
      <c r="Y716" s="31">
        <f t="shared" si="151"/>
        <v>-0.57481307618710009</v>
      </c>
      <c r="Z716" s="31">
        <f t="shared" si="152"/>
        <v>-0.57481307618710009</v>
      </c>
      <c r="AA716" s="31" t="str">
        <f t="shared" si="153"/>
        <v/>
      </c>
    </row>
    <row r="717" spans="1:27" x14ac:dyDescent="0.25">
      <c r="A717" s="6" t="str">
        <f t="shared" si="147"/>
        <v>fragment</v>
      </c>
      <c r="B717" s="6" t="s">
        <v>1196</v>
      </c>
      <c r="C717" s="6" t="str">
        <f t="shared" si="148"/>
        <v>HC49 2097</v>
      </c>
      <c r="D717" s="6" t="s">
        <v>715</v>
      </c>
      <c r="E717" s="20">
        <v>2097</v>
      </c>
      <c r="F717" s="6" t="s">
        <v>720</v>
      </c>
      <c r="G717" s="6" t="s">
        <v>724</v>
      </c>
      <c r="H717" s="6" t="s">
        <v>977</v>
      </c>
      <c r="I717" s="6" t="s">
        <v>20</v>
      </c>
      <c r="J717" s="29"/>
      <c r="K717" s="8" t="str">
        <f t="shared" si="149"/>
        <v/>
      </c>
      <c r="L717" s="8" t="str">
        <f t="shared" si="150"/>
        <v/>
      </c>
      <c r="M717" s="8"/>
      <c r="N717" s="8"/>
      <c r="O717" s="8">
        <v>0.48399999999999999</v>
      </c>
      <c r="P717" s="8">
        <f>0.517+0.746</f>
        <v>1.2629999999999999</v>
      </c>
      <c r="Q717" s="8"/>
      <c r="R717" s="8"/>
      <c r="S717" s="8">
        <v>1.5859999999999999</v>
      </c>
      <c r="T717" s="8">
        <f>0.52+0.926+0.637+1.024+0.289</f>
        <v>3.3960000000000004</v>
      </c>
      <c r="U717" s="8"/>
      <c r="V717" s="8">
        <f t="shared" si="154"/>
        <v>2.6095041322314048</v>
      </c>
      <c r="W717" s="8"/>
      <c r="X717" s="8">
        <f t="shared" ref="X717:X724" si="155">T717/S717</f>
        <v>2.1412358133669613</v>
      </c>
      <c r="Y717" s="31">
        <f t="shared" si="151"/>
        <v>-0.37573126222676123</v>
      </c>
      <c r="Z717" s="31">
        <f t="shared" si="152"/>
        <v>-0.37573126222676123</v>
      </c>
      <c r="AA717" s="31" t="str">
        <f t="shared" si="153"/>
        <v/>
      </c>
    </row>
    <row r="718" spans="1:27" x14ac:dyDescent="0.25">
      <c r="A718" s="6" t="str">
        <f t="shared" si="147"/>
        <v>fragment</v>
      </c>
      <c r="B718" s="6" t="s">
        <v>1196</v>
      </c>
      <c r="C718" s="6" t="str">
        <f t="shared" si="148"/>
        <v>HC49 2097</v>
      </c>
      <c r="D718" s="6" t="s">
        <v>715</v>
      </c>
      <c r="E718" s="20">
        <v>2097</v>
      </c>
      <c r="F718" s="6" t="s">
        <v>720</v>
      </c>
      <c r="G718" s="6" t="s">
        <v>725</v>
      </c>
      <c r="H718" s="6" t="s">
        <v>977</v>
      </c>
      <c r="I718" s="6" t="s">
        <v>20</v>
      </c>
      <c r="J718" s="29"/>
      <c r="K718" s="8" t="str">
        <f t="shared" si="149"/>
        <v/>
      </c>
      <c r="L718" s="8" t="str">
        <f t="shared" si="150"/>
        <v/>
      </c>
      <c r="M718" s="8"/>
      <c r="N718" s="8"/>
      <c r="O718" s="8">
        <v>1.1280000000000001</v>
      </c>
      <c r="P718" s="8">
        <f>1.138+0.851</f>
        <v>1.9889999999999999</v>
      </c>
      <c r="Q718" s="8">
        <v>0.96099999999999997</v>
      </c>
      <c r="R718" s="8">
        <f>0.693+0.759+0.564</f>
        <v>2.016</v>
      </c>
      <c r="S718" s="8">
        <v>1.82</v>
      </c>
      <c r="T718" s="8">
        <f>0.824+0.785+0.788+0.289+0.467+0.494</f>
        <v>3.6470000000000002</v>
      </c>
      <c r="U718" s="8"/>
      <c r="V718" s="8">
        <f t="shared" si="154"/>
        <v>1.7632978723404253</v>
      </c>
      <c r="W718" s="8">
        <f>R718/Q718</f>
        <v>2.0978147762747139</v>
      </c>
      <c r="X718" s="8">
        <f t="shared" si="155"/>
        <v>2.0038461538461538</v>
      </c>
      <c r="Y718" s="31">
        <f t="shared" si="151"/>
        <v>-0.29114371110501996</v>
      </c>
      <c r="Z718" s="31">
        <f t="shared" si="152"/>
        <v>-0.29114371110501996</v>
      </c>
      <c r="AA718" s="31" t="str">
        <f t="shared" si="153"/>
        <v/>
      </c>
    </row>
    <row r="719" spans="1:27" x14ac:dyDescent="0.25">
      <c r="A719" s="6" t="str">
        <f t="shared" si="147"/>
        <v>fragment</v>
      </c>
      <c r="B719" s="6" t="s">
        <v>1196</v>
      </c>
      <c r="C719" s="6" t="str">
        <f t="shared" si="148"/>
        <v>HC49 2097</v>
      </c>
      <c r="D719" s="6" t="s">
        <v>715</v>
      </c>
      <c r="E719" s="20">
        <v>2097</v>
      </c>
      <c r="F719" s="6" t="s">
        <v>720</v>
      </c>
      <c r="G719" s="6" t="s">
        <v>726</v>
      </c>
      <c r="H719" s="6" t="s">
        <v>977</v>
      </c>
      <c r="I719" s="6" t="s">
        <v>20</v>
      </c>
      <c r="J719" s="29"/>
      <c r="K719" s="8" t="str">
        <f t="shared" si="149"/>
        <v/>
      </c>
      <c r="L719" s="8" t="str">
        <f t="shared" si="150"/>
        <v/>
      </c>
      <c r="M719" s="8"/>
      <c r="N719" s="8"/>
      <c r="O719" s="8">
        <v>1.3720000000000001</v>
      </c>
      <c r="P719" s="8">
        <f>0.696+1.044+0.596+0.598</f>
        <v>2.9339999999999997</v>
      </c>
      <c r="Q719" s="8"/>
      <c r="R719" s="8"/>
      <c r="S719" s="8">
        <v>1.3640000000000001</v>
      </c>
      <c r="T719" s="8">
        <f>0.44+0.842+0.866+0.63+0.771</f>
        <v>3.5489999999999999</v>
      </c>
      <c r="U719" s="8"/>
      <c r="V719" s="8">
        <f t="shared" si="154"/>
        <v>2.138483965014577</v>
      </c>
      <c r="W719" s="8"/>
      <c r="X719" s="8">
        <f t="shared" si="155"/>
        <v>2.6019061583577709</v>
      </c>
      <c r="Y719" s="31">
        <f t="shared" si="151"/>
        <v>-0.37478408893328807</v>
      </c>
      <c r="Z719" s="31">
        <f t="shared" si="152"/>
        <v>-0.37478408893328807</v>
      </c>
      <c r="AA719" s="31" t="str">
        <f t="shared" si="153"/>
        <v/>
      </c>
    </row>
    <row r="720" spans="1:27" x14ac:dyDescent="0.25">
      <c r="A720" s="6" t="str">
        <f t="shared" si="147"/>
        <v>fragment</v>
      </c>
      <c r="B720" s="6" t="s">
        <v>1196</v>
      </c>
      <c r="C720" s="6" t="str">
        <f t="shared" si="148"/>
        <v>HC49 2097</v>
      </c>
      <c r="D720" s="6" t="s">
        <v>715</v>
      </c>
      <c r="E720" s="20">
        <v>2097</v>
      </c>
      <c r="F720" s="6" t="s">
        <v>720</v>
      </c>
      <c r="G720" s="6" t="s">
        <v>727</v>
      </c>
      <c r="H720" s="6" t="s">
        <v>977</v>
      </c>
      <c r="I720" s="6" t="s">
        <v>20</v>
      </c>
      <c r="J720" s="29"/>
      <c r="K720" s="8" t="str">
        <f t="shared" si="149"/>
        <v/>
      </c>
      <c r="L720" s="8" t="str">
        <f t="shared" si="150"/>
        <v/>
      </c>
      <c r="M720" s="8"/>
      <c r="N720" s="8"/>
      <c r="O720" s="8">
        <v>1.8620000000000001</v>
      </c>
      <c r="P720" s="8">
        <f>0.45+1.663+1.027</f>
        <v>3.1399999999999997</v>
      </c>
      <c r="Q720" s="8"/>
      <c r="R720" s="8"/>
      <c r="S720" s="8">
        <v>2.1059999999999999</v>
      </c>
      <c r="T720" s="8">
        <f>0.799+1.12+0.541</f>
        <v>2.46</v>
      </c>
      <c r="U720" s="8"/>
      <c r="V720" s="8">
        <f t="shared" si="154"/>
        <v>1.6863587540279268</v>
      </c>
      <c r="W720" s="8"/>
      <c r="X720" s="8">
        <f t="shared" si="155"/>
        <v>1.1680911680911681</v>
      </c>
      <c r="Y720" s="31">
        <f t="shared" si="151"/>
        <v>-0.15449243257270628</v>
      </c>
      <c r="Z720" s="31">
        <f t="shared" si="152"/>
        <v>-0.15449243257270628</v>
      </c>
      <c r="AA720" s="31" t="str">
        <f t="shared" si="153"/>
        <v/>
      </c>
    </row>
    <row r="721" spans="1:27" x14ac:dyDescent="0.25">
      <c r="A721" s="6" t="str">
        <f t="shared" si="147"/>
        <v>fragment</v>
      </c>
      <c r="B721" s="6" t="s">
        <v>1196</v>
      </c>
      <c r="C721" s="6" t="str">
        <f t="shared" si="148"/>
        <v>HC49 2097</v>
      </c>
      <c r="D721" s="6" t="s">
        <v>715</v>
      </c>
      <c r="E721" s="20">
        <v>2097</v>
      </c>
      <c r="F721" s="6" t="s">
        <v>720</v>
      </c>
      <c r="G721" s="6" t="s">
        <v>728</v>
      </c>
      <c r="H721" s="6" t="s">
        <v>977</v>
      </c>
      <c r="I721" s="6" t="s">
        <v>20</v>
      </c>
      <c r="J721" s="29"/>
      <c r="K721" s="8" t="str">
        <f t="shared" si="149"/>
        <v/>
      </c>
      <c r="L721" s="8" t="str">
        <f t="shared" si="150"/>
        <v/>
      </c>
      <c r="M721" s="8"/>
      <c r="N721" s="8"/>
      <c r="O721" s="8">
        <v>1.22</v>
      </c>
      <c r="P721" s="8">
        <f>0.808+0.973+0.512</f>
        <v>2.2930000000000001</v>
      </c>
      <c r="Q721" s="8"/>
      <c r="R721" s="8"/>
      <c r="S721" s="8">
        <v>2.2730000000000001</v>
      </c>
      <c r="T721" s="8">
        <f>0.488+1.074+1.022+1.093+0.689+0.638</f>
        <v>5.0039999999999996</v>
      </c>
      <c r="U721" s="8"/>
      <c r="V721" s="8">
        <f t="shared" si="154"/>
        <v>1.8795081967213116</v>
      </c>
      <c r="W721" s="8"/>
      <c r="X721" s="8">
        <f t="shared" si="155"/>
        <v>2.2014958205015396</v>
      </c>
      <c r="Y721" s="31">
        <f t="shared" si="151"/>
        <v>-0.3097370266164835</v>
      </c>
      <c r="Z721" s="31">
        <f t="shared" si="152"/>
        <v>-0.3097370266164835</v>
      </c>
      <c r="AA721" s="31" t="str">
        <f t="shared" si="153"/>
        <v/>
      </c>
    </row>
    <row r="722" spans="1:27" x14ac:dyDescent="0.25">
      <c r="A722" s="6" t="str">
        <f t="shared" si="147"/>
        <v>complete</v>
      </c>
      <c r="B722" s="6" t="s">
        <v>1196</v>
      </c>
      <c r="C722" s="6" t="str">
        <f t="shared" si="148"/>
        <v>HC49 2097</v>
      </c>
      <c r="D722" s="6" t="s">
        <v>715</v>
      </c>
      <c r="E722" s="20">
        <v>2097</v>
      </c>
      <c r="F722" s="6" t="s">
        <v>720</v>
      </c>
      <c r="G722" s="6" t="s">
        <v>729</v>
      </c>
      <c r="H722" s="6" t="s">
        <v>977</v>
      </c>
      <c r="I722" s="6" t="s">
        <v>20</v>
      </c>
      <c r="J722" s="29">
        <v>11.929</v>
      </c>
      <c r="K722" s="8">
        <f t="shared" si="149"/>
        <v>1.0766040385836109</v>
      </c>
      <c r="L722" s="8">
        <f t="shared" si="150"/>
        <v>7.0841425962878999</v>
      </c>
      <c r="M722" s="8"/>
      <c r="N722" s="8"/>
      <c r="O722" s="8">
        <v>1.5580000000000001</v>
      </c>
      <c r="P722" s="8">
        <f>0.699+0.809+1.119+0.611</f>
        <v>3.2379999999999995</v>
      </c>
      <c r="Q722" s="8"/>
      <c r="R722" s="8"/>
      <c r="S722" s="8">
        <v>2.073</v>
      </c>
      <c r="T722" s="8">
        <f>0.935+1.287+0.656</f>
        <v>2.8780000000000001</v>
      </c>
      <c r="U722" s="8"/>
      <c r="V722" s="8">
        <f t="shared" si="154"/>
        <v>2.0783055198973037</v>
      </c>
      <c r="W722" s="8"/>
      <c r="X722" s="8">
        <f t="shared" si="155"/>
        <v>1.3883260974433189</v>
      </c>
      <c r="Y722" s="31">
        <f t="shared" si="151"/>
        <v>-0.23887769800960459</v>
      </c>
      <c r="Z722" s="31" t="str">
        <f t="shared" si="152"/>
        <v/>
      </c>
      <c r="AA722" s="31">
        <f t="shared" si="153"/>
        <v>-0.23887769800960459</v>
      </c>
    </row>
    <row r="723" spans="1:27" x14ac:dyDescent="0.25">
      <c r="A723" s="6" t="str">
        <f t="shared" si="147"/>
        <v>fragment</v>
      </c>
      <c r="B723" s="6" t="s">
        <v>1196</v>
      </c>
      <c r="C723" s="6" t="str">
        <f t="shared" si="148"/>
        <v>HC49 2097</v>
      </c>
      <c r="D723" s="6" t="s">
        <v>715</v>
      </c>
      <c r="E723" s="20">
        <v>2097</v>
      </c>
      <c r="F723" s="6" t="s">
        <v>720</v>
      </c>
      <c r="G723" s="6" t="s">
        <v>730</v>
      </c>
      <c r="H723" s="6" t="s">
        <v>977</v>
      </c>
      <c r="I723" s="6" t="s">
        <v>20</v>
      </c>
      <c r="J723" s="29"/>
      <c r="K723" s="8" t="str">
        <f t="shared" si="149"/>
        <v/>
      </c>
      <c r="L723" s="8" t="str">
        <f t="shared" si="150"/>
        <v/>
      </c>
      <c r="M723" s="8"/>
      <c r="N723" s="8"/>
      <c r="O723" s="8">
        <v>3.8210000000000002</v>
      </c>
      <c r="P723" s="8">
        <f>0.621 + 1.609 + 1.866 + 1.877 + 1.388 + 0.859</f>
        <v>8.2199999999999989</v>
      </c>
      <c r="Q723" s="8">
        <v>1.3819999999999999</v>
      </c>
      <c r="R723" s="8">
        <f>0.94 + 0.864 + 0.434 + 0.647</f>
        <v>2.8849999999999998</v>
      </c>
      <c r="S723" s="8">
        <v>1.3819999999999999</v>
      </c>
      <c r="T723" s="8">
        <f>0.843 + 0.808 + 0.339 + 0.817 + 0.501</f>
        <v>3.3079999999999998</v>
      </c>
      <c r="U723" s="8"/>
      <c r="V723" s="8">
        <f t="shared" si="154"/>
        <v>2.1512693012300441</v>
      </c>
      <c r="W723" s="8">
        <f>R723/Q723</f>
        <v>2.0875542691751083</v>
      </c>
      <c r="X723" s="8">
        <f t="shared" si="155"/>
        <v>2.3936324167872649</v>
      </c>
      <c r="Y723" s="31">
        <f t="shared" si="151"/>
        <v>-0.34455312197723909</v>
      </c>
      <c r="Z723" s="31">
        <f t="shared" si="152"/>
        <v>-0.34455312197723909</v>
      </c>
      <c r="AA723" s="31" t="str">
        <f t="shared" si="153"/>
        <v/>
      </c>
    </row>
    <row r="724" spans="1:27" x14ac:dyDescent="0.25">
      <c r="A724" s="6" t="str">
        <f t="shared" si="147"/>
        <v>fragment</v>
      </c>
      <c r="B724" s="6" t="s">
        <v>1196</v>
      </c>
      <c r="C724" s="6" t="str">
        <f t="shared" si="148"/>
        <v>HC49 2097</v>
      </c>
      <c r="D724" s="6" t="s">
        <v>715</v>
      </c>
      <c r="E724" s="20">
        <v>2097</v>
      </c>
      <c r="F724" s="6" t="s">
        <v>720</v>
      </c>
      <c r="G724" s="6" t="s">
        <v>731</v>
      </c>
      <c r="H724" s="6" t="s">
        <v>977</v>
      </c>
      <c r="I724" s="6" t="s">
        <v>20</v>
      </c>
      <c r="J724" s="29"/>
      <c r="K724" s="8" t="str">
        <f t="shared" si="149"/>
        <v/>
      </c>
      <c r="L724" s="8" t="str">
        <f t="shared" si="150"/>
        <v/>
      </c>
      <c r="M724" s="8"/>
      <c r="N724" s="8"/>
      <c r="O724" s="8">
        <v>0.51800000000000002</v>
      </c>
      <c r="P724" s="8">
        <f>0.424+0.516+0.458</f>
        <v>1.3979999999999999</v>
      </c>
      <c r="Q724" s="8"/>
      <c r="R724" s="8"/>
      <c r="S724" s="8">
        <v>1.1639999999999999</v>
      </c>
      <c r="T724" s="8">
        <f>0.498+0.827+1.045+0.578</f>
        <v>2.948</v>
      </c>
      <c r="U724" s="8"/>
      <c r="V724" s="8">
        <f t="shared" si="154"/>
        <v>2.6988416988416986</v>
      </c>
      <c r="W724" s="8"/>
      <c r="X724" s="8">
        <f t="shared" si="155"/>
        <v>2.532646048109966</v>
      </c>
      <c r="Y724" s="31">
        <f t="shared" si="151"/>
        <v>-0.41759521679985229</v>
      </c>
      <c r="Z724" s="31">
        <f t="shared" si="152"/>
        <v>-0.41759521679985229</v>
      </c>
      <c r="AA724" s="31" t="str">
        <f t="shared" si="153"/>
        <v/>
      </c>
    </row>
    <row r="725" spans="1:27" x14ac:dyDescent="0.25">
      <c r="A725" s="6" t="str">
        <f t="shared" si="147"/>
        <v>fragment</v>
      </c>
      <c r="B725" s="6" t="s">
        <v>1196</v>
      </c>
      <c r="C725" s="6" t="str">
        <f t="shared" si="148"/>
        <v>HC49 2215</v>
      </c>
      <c r="D725" s="22" t="s">
        <v>715</v>
      </c>
      <c r="E725" s="22">
        <v>2215</v>
      </c>
      <c r="F725" s="22"/>
      <c r="G725" s="22" t="s">
        <v>1021</v>
      </c>
      <c r="H725" s="6" t="s">
        <v>977</v>
      </c>
      <c r="I725" s="6" t="s">
        <v>20</v>
      </c>
      <c r="J725" s="30"/>
      <c r="K725" s="8" t="str">
        <f t="shared" si="149"/>
        <v/>
      </c>
      <c r="L725" s="8" t="str">
        <f t="shared" si="150"/>
        <v/>
      </c>
      <c r="M725" s="23">
        <v>0.31</v>
      </c>
      <c r="N725" s="23">
        <f>0.168+0.492+0.232+0.555</f>
        <v>1.4470000000000001</v>
      </c>
      <c r="O725" s="23">
        <v>0.28000000000000003</v>
      </c>
      <c r="P725" s="23">
        <f>0.414+0.412+0.535</f>
        <v>1.361</v>
      </c>
      <c r="Q725" s="23">
        <v>0.16300000000000001</v>
      </c>
      <c r="R725" s="23">
        <f>0.349+0.319</f>
        <v>0.66799999999999993</v>
      </c>
      <c r="S725" s="8"/>
      <c r="T725" s="8"/>
      <c r="U725" s="8">
        <v>4.6677419354838712</v>
      </c>
      <c r="V725" s="8">
        <v>4.8607142857142849</v>
      </c>
      <c r="W725" s="8">
        <v>4.0981595092024534</v>
      </c>
      <c r="X725" s="8"/>
      <c r="Y725" s="31">
        <f t="shared" si="151"/>
        <v>-0.65726675429834258</v>
      </c>
      <c r="Z725" s="31">
        <f t="shared" si="152"/>
        <v>-0.65726675429834258</v>
      </c>
      <c r="AA725" s="31" t="str">
        <f t="shared" si="153"/>
        <v/>
      </c>
    </row>
    <row r="726" spans="1:27" x14ac:dyDescent="0.25">
      <c r="A726" s="6" t="str">
        <f t="shared" si="147"/>
        <v>complete</v>
      </c>
      <c r="B726" s="6" t="s">
        <v>1196</v>
      </c>
      <c r="C726" s="6" t="str">
        <f t="shared" si="148"/>
        <v>HC49 2215</v>
      </c>
      <c r="D726" s="22" t="s">
        <v>715</v>
      </c>
      <c r="E726" s="22">
        <v>2215</v>
      </c>
      <c r="F726" s="22"/>
      <c r="G726" s="22" t="s">
        <v>1022</v>
      </c>
      <c r="H726" s="6" t="s">
        <v>977</v>
      </c>
      <c r="I726" s="6" t="s">
        <v>20</v>
      </c>
      <c r="J726" s="30">
        <f>6.555*2</f>
        <v>13.11</v>
      </c>
      <c r="K726" s="8">
        <f t="shared" si="149"/>
        <v>1.1176026916900843</v>
      </c>
      <c r="L726" s="8">
        <f t="shared" si="150"/>
        <v>7.1785454837636999</v>
      </c>
      <c r="M726" s="23">
        <v>0.96099999999999997</v>
      </c>
      <c r="N726" s="23">
        <f>0.517+1.03+0.633</f>
        <v>2.1800000000000002</v>
      </c>
      <c r="O726" s="23">
        <v>0.72299999999999998</v>
      </c>
      <c r="P726" s="23">
        <f>0.588+0.716</f>
        <v>1.3039999999999998</v>
      </c>
      <c r="Q726" s="23">
        <v>0.6</v>
      </c>
      <c r="R726" s="23">
        <f>0.349+0.703+0.076+0.103</f>
        <v>1.2310000000000001</v>
      </c>
      <c r="S726" s="8"/>
      <c r="T726" s="8"/>
      <c r="U726" s="8">
        <v>2.2684703433923001</v>
      </c>
      <c r="V726" s="8">
        <v>1.8035961272475793</v>
      </c>
      <c r="W726" s="8">
        <v>2.0516666666666667</v>
      </c>
      <c r="X726" s="8"/>
      <c r="Y726" s="31">
        <f t="shared" si="151"/>
        <v>-0.30989500184600238</v>
      </c>
      <c r="Z726" s="31" t="str">
        <f t="shared" si="152"/>
        <v/>
      </c>
      <c r="AA726" s="31">
        <f t="shared" si="153"/>
        <v>-0.30989500184600238</v>
      </c>
    </row>
    <row r="727" spans="1:27" x14ac:dyDescent="0.25">
      <c r="A727" s="6" t="str">
        <f t="shared" si="147"/>
        <v>fragment</v>
      </c>
      <c r="B727" s="6" t="s">
        <v>1196</v>
      </c>
      <c r="C727" s="6" t="str">
        <f t="shared" si="148"/>
        <v>HC49 2215</v>
      </c>
      <c r="D727" s="22" t="s">
        <v>715</v>
      </c>
      <c r="E727" s="22">
        <v>2215</v>
      </c>
      <c r="F727" s="22"/>
      <c r="G727" s="22" t="s">
        <v>1023</v>
      </c>
      <c r="H727" s="6" t="s">
        <v>977</v>
      </c>
      <c r="I727" s="6" t="s">
        <v>20</v>
      </c>
      <c r="J727" s="30"/>
      <c r="K727" s="8" t="str">
        <f t="shared" si="149"/>
        <v/>
      </c>
      <c r="L727" s="8" t="str">
        <f t="shared" si="150"/>
        <v/>
      </c>
      <c r="M727" s="23"/>
      <c r="N727" s="23"/>
      <c r="O727" s="23">
        <v>1.798</v>
      </c>
      <c r="P727" s="23">
        <f>0.594+1.458+1.296+0.357</f>
        <v>3.7050000000000001</v>
      </c>
      <c r="Q727" s="23">
        <v>1.581</v>
      </c>
      <c r="R727" s="23">
        <f>0.947+1.534+0.521</f>
        <v>3.0019999999999998</v>
      </c>
      <c r="S727" s="8"/>
      <c r="T727" s="8"/>
      <c r="U727" s="8"/>
      <c r="V727" s="8">
        <v>2.0606229143492771</v>
      </c>
      <c r="W727" s="8">
        <v>1.8987982289690069</v>
      </c>
      <c r="X727" s="8"/>
      <c r="Y727" s="31">
        <f t="shared" si="151"/>
        <v>-0.29660170222153925</v>
      </c>
      <c r="Z727" s="31">
        <f t="shared" si="152"/>
        <v>-0.29660170222153925</v>
      </c>
      <c r="AA727" s="31" t="str">
        <f t="shared" si="153"/>
        <v/>
      </c>
    </row>
    <row r="728" spans="1:27" x14ac:dyDescent="0.25">
      <c r="A728" s="6" t="str">
        <f t="shared" si="147"/>
        <v>complete</v>
      </c>
      <c r="B728" s="6" t="s">
        <v>1196</v>
      </c>
      <c r="C728" s="6" t="str">
        <f t="shared" si="148"/>
        <v>HC49 2215</v>
      </c>
      <c r="D728" s="22" t="s">
        <v>715</v>
      </c>
      <c r="E728" s="22">
        <v>2215</v>
      </c>
      <c r="F728" s="22"/>
      <c r="G728" s="22" t="s">
        <v>1024</v>
      </c>
      <c r="H728" s="6" t="s">
        <v>977</v>
      </c>
      <c r="I728" s="6" t="s">
        <v>20</v>
      </c>
      <c r="J728" s="30">
        <f>6.975*2</f>
        <v>13.95</v>
      </c>
      <c r="K728" s="8">
        <f t="shared" si="149"/>
        <v>1.1445742076096164</v>
      </c>
      <c r="L728" s="8">
        <f t="shared" si="150"/>
        <v>7.2406496942554659</v>
      </c>
      <c r="M728" s="23"/>
      <c r="N728" s="23"/>
      <c r="O728" s="23">
        <v>0.80100000000000005</v>
      </c>
      <c r="P728" s="23">
        <f>0.264+0.893+0.716</f>
        <v>1.873</v>
      </c>
      <c r="Q728" s="23">
        <v>1.2</v>
      </c>
      <c r="R728" s="23">
        <f>0.602+1.653+0.485</f>
        <v>2.7399999999999998</v>
      </c>
      <c r="S728" s="8"/>
      <c r="T728" s="8"/>
      <c r="U728" s="8"/>
      <c r="V728" s="8">
        <v>2.3383270911360796</v>
      </c>
      <c r="W728" s="8">
        <v>2.2833333333333332</v>
      </c>
      <c r="X728" s="8"/>
      <c r="Y728" s="31">
        <f t="shared" si="151"/>
        <v>-0.36376803695533894</v>
      </c>
      <c r="Z728" s="31" t="str">
        <f t="shared" si="152"/>
        <v/>
      </c>
      <c r="AA728" s="31">
        <f t="shared" si="153"/>
        <v>-0.36376803695533894</v>
      </c>
    </row>
    <row r="729" spans="1:27" x14ac:dyDescent="0.25">
      <c r="A729" s="6" t="str">
        <f t="shared" si="147"/>
        <v>complete</v>
      </c>
      <c r="B729" s="6" t="s">
        <v>1196</v>
      </c>
      <c r="C729" s="6" t="str">
        <f t="shared" si="148"/>
        <v>HC49 2215</v>
      </c>
      <c r="D729" s="22" t="s">
        <v>715</v>
      </c>
      <c r="E729" s="22">
        <v>2215</v>
      </c>
      <c r="F729" s="22"/>
      <c r="G729" s="22" t="s">
        <v>1025</v>
      </c>
      <c r="H729" s="6" t="s">
        <v>977</v>
      </c>
      <c r="I729" s="6" t="s">
        <v>20</v>
      </c>
      <c r="J729" s="30">
        <v>18.13</v>
      </c>
      <c r="K729" s="8">
        <f t="shared" si="149"/>
        <v>1.2583978040955086</v>
      </c>
      <c r="L729" s="8">
        <f t="shared" si="150"/>
        <v>7.5027382107548508</v>
      </c>
      <c r="M729" s="23">
        <v>1.054</v>
      </c>
      <c r="N729" s="23">
        <f>0.369+0.534+0.927+0.27</f>
        <v>2.1</v>
      </c>
      <c r="O729" s="23">
        <v>0.98699999999999999</v>
      </c>
      <c r="P729" s="23">
        <f>0.568+0.191+1.015+0.246</f>
        <v>2.0199999999999996</v>
      </c>
      <c r="Q729" s="23">
        <v>0.626</v>
      </c>
      <c r="R729" s="23">
        <f>0.474+0.881+0.19</f>
        <v>1.5449999999999999</v>
      </c>
      <c r="S729" s="8"/>
      <c r="T729" s="8"/>
      <c r="U729" s="8">
        <v>1.9924098671726755</v>
      </c>
      <c r="V729" s="8">
        <v>2.0466058763931101</v>
      </c>
      <c r="W729" s="8">
        <v>2.4680511182108624</v>
      </c>
      <c r="X729" s="8"/>
      <c r="Y729" s="31">
        <f t="shared" si="151"/>
        <v>-0.33626401452402316</v>
      </c>
      <c r="Z729" s="31" t="str">
        <f t="shared" si="152"/>
        <v/>
      </c>
      <c r="AA729" s="31">
        <f t="shared" si="153"/>
        <v>-0.33626401452402316</v>
      </c>
    </row>
    <row r="730" spans="1:27" x14ac:dyDescent="0.25">
      <c r="A730" s="6" t="str">
        <f t="shared" si="147"/>
        <v>complete</v>
      </c>
      <c r="B730" s="6" t="s">
        <v>1196</v>
      </c>
      <c r="C730" s="6" t="str">
        <f t="shared" si="148"/>
        <v>HC49 2215</v>
      </c>
      <c r="D730" s="22" t="s">
        <v>715</v>
      </c>
      <c r="E730" s="22">
        <v>2215</v>
      </c>
      <c r="F730" s="22"/>
      <c r="G730" s="22" t="s">
        <v>1026</v>
      </c>
      <c r="H730" s="6" t="s">
        <v>977</v>
      </c>
      <c r="I730" s="6" t="s">
        <v>20</v>
      </c>
      <c r="J730" s="30">
        <v>5.9279999999999999</v>
      </c>
      <c r="K730" s="8">
        <f t="shared" si="149"/>
        <v>0.77290819497127172</v>
      </c>
      <c r="L730" s="8">
        <f t="shared" si="150"/>
        <v>6.3848570739818769</v>
      </c>
      <c r="M730" s="23"/>
      <c r="N730" s="23"/>
      <c r="O730" s="23">
        <v>0.59099999999999997</v>
      </c>
      <c r="P730" s="23">
        <f>0.346+0.218+0.776+0.438</f>
        <v>1.7779999999999998</v>
      </c>
      <c r="Q730" s="23">
        <v>0.39100000000000001</v>
      </c>
      <c r="R730" s="23">
        <f>0.57+0.33+0.518</f>
        <v>1.4179999999999999</v>
      </c>
      <c r="S730" s="8"/>
      <c r="T730" s="8"/>
      <c r="U730" s="8"/>
      <c r="V730" s="8">
        <v>3.0084602368866324</v>
      </c>
      <c r="W730" s="8">
        <v>3.6265984654731453</v>
      </c>
      <c r="X730" s="8"/>
      <c r="Y730" s="31">
        <f t="shared" si="151"/>
        <v>-0.52081477388736219</v>
      </c>
      <c r="Z730" s="31" t="str">
        <f t="shared" si="152"/>
        <v/>
      </c>
      <c r="AA730" s="31">
        <f t="shared" si="153"/>
        <v>-0.52081477388736219</v>
      </c>
    </row>
    <row r="731" spans="1:27" x14ac:dyDescent="0.25">
      <c r="A731" s="6" t="str">
        <f t="shared" si="147"/>
        <v>fragment</v>
      </c>
      <c r="B731" s="6" t="s">
        <v>1196</v>
      </c>
      <c r="C731" s="6" t="str">
        <f t="shared" si="148"/>
        <v>HC49 2215</v>
      </c>
      <c r="D731" s="22" t="s">
        <v>715</v>
      </c>
      <c r="E731" s="22">
        <v>2215</v>
      </c>
      <c r="F731" s="22"/>
      <c r="G731" s="22" t="s">
        <v>1027</v>
      </c>
      <c r="H731" s="6" t="s">
        <v>977</v>
      </c>
      <c r="I731" s="6" t="s">
        <v>20</v>
      </c>
      <c r="J731" s="30"/>
      <c r="K731" s="8" t="str">
        <f t="shared" si="149"/>
        <v/>
      </c>
      <c r="L731" s="8" t="str">
        <f t="shared" si="150"/>
        <v/>
      </c>
      <c r="M731" s="23">
        <v>0.66100000000000003</v>
      </c>
      <c r="N731" s="23">
        <f>1.144+0.142</f>
        <v>1.2859999999999998</v>
      </c>
      <c r="O731" s="23">
        <v>1.589</v>
      </c>
      <c r="P731" s="23">
        <f>0.786+1.157+0.737</f>
        <v>2.68</v>
      </c>
      <c r="Q731" s="23">
        <v>0.38300000000000001</v>
      </c>
      <c r="R731" s="23">
        <f>0.481+0.239</f>
        <v>0.72</v>
      </c>
      <c r="S731" s="8"/>
      <c r="T731" s="8"/>
      <c r="U731" s="8">
        <v>1.9455370650529498</v>
      </c>
      <c r="V731" s="8">
        <v>1.6865953429830083</v>
      </c>
      <c r="W731" s="8">
        <v>1.8798955613577022</v>
      </c>
      <c r="X731" s="8"/>
      <c r="Y731" s="31">
        <f t="shared" si="151"/>
        <v>-0.26419015790314909</v>
      </c>
      <c r="Z731" s="31">
        <f t="shared" si="152"/>
        <v>-0.26419015790314909</v>
      </c>
      <c r="AA731" s="31" t="str">
        <f t="shared" si="153"/>
        <v/>
      </c>
    </row>
    <row r="732" spans="1:27" x14ac:dyDescent="0.25">
      <c r="A732" s="6" t="str">
        <f t="shared" si="147"/>
        <v>fragment</v>
      </c>
      <c r="B732" s="6" t="s">
        <v>1196</v>
      </c>
      <c r="C732" s="6" t="str">
        <f t="shared" si="148"/>
        <v>HC49 2215</v>
      </c>
      <c r="D732" s="22" t="s">
        <v>715</v>
      </c>
      <c r="E732" s="22">
        <v>2215</v>
      </c>
      <c r="F732" s="22"/>
      <c r="G732" s="22" t="s">
        <v>1028</v>
      </c>
      <c r="H732" s="6" t="s">
        <v>977</v>
      </c>
      <c r="I732" s="6" t="s">
        <v>20</v>
      </c>
      <c r="J732" s="30"/>
      <c r="K732" s="8" t="str">
        <f t="shared" si="149"/>
        <v/>
      </c>
      <c r="L732" s="8" t="str">
        <f t="shared" si="150"/>
        <v/>
      </c>
      <c r="M732" s="23"/>
      <c r="N732" s="23"/>
      <c r="O732" s="23">
        <v>1.111</v>
      </c>
      <c r="P732" s="23">
        <f>0.625+0.888</f>
        <v>1.5129999999999999</v>
      </c>
      <c r="Q732" s="23">
        <v>1.0780000000000001</v>
      </c>
      <c r="R732" s="23">
        <f>0.527+1.058+0.361</f>
        <v>1.946</v>
      </c>
      <c r="S732" s="8"/>
      <c r="T732" s="8"/>
      <c r="U732" s="8"/>
      <c r="V732" s="8">
        <v>1.3618361836183617</v>
      </c>
      <c r="W732" s="8">
        <v>1.805194805194805</v>
      </c>
      <c r="X732" s="8"/>
      <c r="Y732" s="31">
        <f t="shared" si="151"/>
        <v>-0.19962231721999754</v>
      </c>
      <c r="Z732" s="31">
        <f t="shared" si="152"/>
        <v>-0.19962231721999754</v>
      </c>
      <c r="AA732" s="31" t="str">
        <f t="shared" si="153"/>
        <v/>
      </c>
    </row>
    <row r="733" spans="1:27" x14ac:dyDescent="0.25">
      <c r="A733" s="6" t="str">
        <f t="shared" si="147"/>
        <v>complete</v>
      </c>
      <c r="B733" s="6" t="s">
        <v>1196</v>
      </c>
      <c r="C733" s="6" t="str">
        <f t="shared" si="148"/>
        <v>HC49 2215</v>
      </c>
      <c r="D733" s="22" t="s">
        <v>715</v>
      </c>
      <c r="E733" s="22">
        <v>2215</v>
      </c>
      <c r="F733" s="22"/>
      <c r="G733" s="22" t="s">
        <v>1029</v>
      </c>
      <c r="H733" s="6" t="s">
        <v>977</v>
      </c>
      <c r="I733" s="6" t="s">
        <v>20</v>
      </c>
      <c r="J733" s="30">
        <v>12.117000000000001</v>
      </c>
      <c r="K733" s="8">
        <f t="shared" si="149"/>
        <v>1.0833951078896507</v>
      </c>
      <c r="L733" s="8">
        <f t="shared" si="150"/>
        <v>7.0997796112374765</v>
      </c>
      <c r="M733" s="23"/>
      <c r="N733" s="23"/>
      <c r="O733" s="23">
        <v>0.70599999999999996</v>
      </c>
      <c r="P733" s="23">
        <f>0.652+0.595+0.574+0.275</f>
        <v>2.0959999999999996</v>
      </c>
      <c r="Q733" s="23">
        <v>0.93</v>
      </c>
      <c r="R733" s="23">
        <f>0.714+1.109+0.369</f>
        <v>2.1920000000000002</v>
      </c>
      <c r="S733" s="8"/>
      <c r="T733" s="8"/>
      <c r="U733" s="8"/>
      <c r="V733" s="8">
        <v>2.9688385269121809</v>
      </c>
      <c r="W733" s="8">
        <v>2.3569892473118279</v>
      </c>
      <c r="X733" s="8"/>
      <c r="Y733" s="31">
        <f t="shared" si="151"/>
        <v>-0.42535712251976671</v>
      </c>
      <c r="Z733" s="31" t="str">
        <f t="shared" si="152"/>
        <v/>
      </c>
      <c r="AA733" s="31">
        <f t="shared" si="153"/>
        <v>-0.42535712251976671</v>
      </c>
    </row>
    <row r="734" spans="1:27" x14ac:dyDescent="0.25">
      <c r="A734" s="6" t="str">
        <f t="shared" si="147"/>
        <v>complete</v>
      </c>
      <c r="B734" s="6" t="s">
        <v>1196</v>
      </c>
      <c r="C734" s="6" t="str">
        <f t="shared" si="148"/>
        <v>HC49 2215</v>
      </c>
      <c r="D734" s="6" t="s">
        <v>715</v>
      </c>
      <c r="E734" s="20">
        <v>2215</v>
      </c>
      <c r="G734" s="6" t="s">
        <v>749</v>
      </c>
      <c r="H734" s="6" t="s">
        <v>977</v>
      </c>
      <c r="I734" s="8" t="s">
        <v>20</v>
      </c>
      <c r="J734" s="29">
        <v>16.785350000000001</v>
      </c>
      <c r="K734" s="8">
        <f t="shared" si="149"/>
        <v>1.2249304013769362</v>
      </c>
      <c r="L734" s="8">
        <f t="shared" si="150"/>
        <v>7.4256766681538373</v>
      </c>
      <c r="M734" s="8"/>
      <c r="N734" s="8"/>
      <c r="O734" s="8">
        <v>2.3410000000000002</v>
      </c>
      <c r="P734" s="8">
        <f>0.441 + 0.317 + 1.424 + 0.325 + 1.157 + 0.254 + 1.064</f>
        <v>4.9820000000000002</v>
      </c>
      <c r="Q734" s="8">
        <v>2.4209999999999998</v>
      </c>
      <c r="R734" s="8">
        <f>0.492 + 1.166 + 1.107 + 0.759 + 0.778</f>
        <v>4.3019999999999996</v>
      </c>
      <c r="S734" s="8"/>
      <c r="T734" s="8"/>
      <c r="U734" s="8"/>
      <c r="V734" s="8">
        <f>P734/O734</f>
        <v>2.1281503630926952</v>
      </c>
      <c r="W734" s="8">
        <f>R734/Q734</f>
        <v>1.7769516728624535</v>
      </c>
      <c r="X734" s="8"/>
      <c r="Y734" s="31">
        <f t="shared" si="151"/>
        <v>-0.29060239032740154</v>
      </c>
      <c r="Z734" s="31" t="str">
        <f t="shared" si="152"/>
        <v/>
      </c>
      <c r="AA734" s="31">
        <f t="shared" si="153"/>
        <v>-0.29060239032740154</v>
      </c>
    </row>
    <row r="735" spans="1:27" x14ac:dyDescent="0.25">
      <c r="A735" s="6" t="str">
        <f t="shared" si="147"/>
        <v>complete</v>
      </c>
      <c r="B735" s="6" t="s">
        <v>1196</v>
      </c>
      <c r="C735" s="6" t="str">
        <f t="shared" si="148"/>
        <v>HC49 425</v>
      </c>
      <c r="D735" s="22" t="s">
        <v>715</v>
      </c>
      <c r="E735" s="22">
        <v>425</v>
      </c>
      <c r="F735" s="22"/>
      <c r="G735" s="22" t="s">
        <v>850</v>
      </c>
      <c r="H735" s="22" t="s">
        <v>979</v>
      </c>
      <c r="I735" s="6" t="s">
        <v>20</v>
      </c>
      <c r="J735" s="30">
        <f>8.966*2</f>
        <v>17.931999999999999</v>
      </c>
      <c r="K735" s="8">
        <f t="shared" si="149"/>
        <v>1.2536287301937543</v>
      </c>
      <c r="L735" s="8">
        <f t="shared" si="150"/>
        <v>7.4917570122812842</v>
      </c>
      <c r="M735" s="23">
        <v>1.411</v>
      </c>
      <c r="N735" s="23">
        <f>1.26+1.038+1.133+0.2</f>
        <v>3.6310000000000002</v>
      </c>
      <c r="O735" s="25">
        <v>1.879</v>
      </c>
      <c r="P735" s="25">
        <f>0.758+1.865+1.273+0.563+0.073</f>
        <v>4.532</v>
      </c>
      <c r="Q735" s="23">
        <v>1.7270000000000001</v>
      </c>
      <c r="R735" s="23">
        <f>0.175+0.969+1.31+1.343+0.737</f>
        <v>4.5339999999999998</v>
      </c>
      <c r="S735" s="8"/>
      <c r="T735" s="8"/>
      <c r="U735" s="8">
        <v>2.573352232459249</v>
      </c>
      <c r="V735" s="8">
        <v>2.411921234699308</v>
      </c>
      <c r="W735" s="8">
        <v>2.6253618992472494</v>
      </c>
      <c r="X735" s="8"/>
      <c r="Y735" s="31">
        <f t="shared" si="151"/>
        <v>-0.4042996602119589</v>
      </c>
      <c r="Z735" s="31" t="str">
        <f t="shared" si="152"/>
        <v/>
      </c>
      <c r="AA735" s="31">
        <f t="shared" si="153"/>
        <v>-0.4042996602119589</v>
      </c>
    </row>
    <row r="736" spans="1:27" x14ac:dyDescent="0.25">
      <c r="A736" s="6" t="str">
        <f t="shared" si="147"/>
        <v>fragment</v>
      </c>
      <c r="B736" s="6" t="s">
        <v>1196</v>
      </c>
      <c r="C736" s="6" t="str">
        <f t="shared" si="148"/>
        <v>HC49 428</v>
      </c>
      <c r="D736" s="6" t="s">
        <v>715</v>
      </c>
      <c r="E736" s="20">
        <v>428</v>
      </c>
      <c r="F736" s="6" t="s">
        <v>154</v>
      </c>
      <c r="G736" s="6" t="s">
        <v>719</v>
      </c>
      <c r="H736" s="6" t="s">
        <v>979</v>
      </c>
      <c r="I736" s="6" t="s">
        <v>20</v>
      </c>
      <c r="J736" s="29"/>
      <c r="K736" s="8" t="str">
        <f t="shared" si="149"/>
        <v/>
      </c>
      <c r="L736" s="8" t="str">
        <f t="shared" si="150"/>
        <v/>
      </c>
      <c r="M736" s="8"/>
      <c r="N736" s="8"/>
      <c r="O736" s="8">
        <v>1.51</v>
      </c>
      <c r="P736" s="8">
        <f>0.361+1.765+0.533</f>
        <v>2.6589999999999998</v>
      </c>
      <c r="Q736" s="8">
        <v>0.61599999999999999</v>
      </c>
      <c r="R736" s="8">
        <f>0.564+0.763+0.449</f>
        <v>1.776</v>
      </c>
      <c r="S736" s="8">
        <v>3.617</v>
      </c>
      <c r="T736" s="8">
        <f>0.82+1.907+2.231+0.881+0.854</f>
        <v>6.6930000000000005</v>
      </c>
      <c r="U736" s="8"/>
      <c r="V736" s="8">
        <f>P736/O736</f>
        <v>1.7609271523178807</v>
      </c>
      <c r="W736" s="8">
        <f>R736/Q736</f>
        <v>2.8831168831168834</v>
      </c>
      <c r="X736" s="8">
        <f>T736/S736</f>
        <v>1.8504285319325409</v>
      </c>
      <c r="Y736" s="31">
        <f t="shared" si="151"/>
        <v>-0.33542263196220645</v>
      </c>
      <c r="Z736" s="31">
        <f t="shared" si="152"/>
        <v>-0.33542263196220645</v>
      </c>
      <c r="AA736" s="31" t="str">
        <f t="shared" si="153"/>
        <v/>
      </c>
    </row>
    <row r="737" spans="1:27" x14ac:dyDescent="0.25">
      <c r="A737" s="6" t="str">
        <f t="shared" si="147"/>
        <v>complete</v>
      </c>
      <c r="B737" s="6" t="s">
        <v>1196</v>
      </c>
      <c r="C737" s="6" t="str">
        <f t="shared" si="148"/>
        <v>HC49 430</v>
      </c>
      <c r="D737" s="22" t="s">
        <v>715</v>
      </c>
      <c r="E737" s="24">
        <v>430</v>
      </c>
      <c r="F737" s="22"/>
      <c r="G737" s="22" t="s">
        <v>1033</v>
      </c>
      <c r="H737" s="22" t="s">
        <v>977</v>
      </c>
      <c r="I737" s="6" t="s">
        <v>20</v>
      </c>
      <c r="J737" s="30">
        <v>14.476000000000001</v>
      </c>
      <c r="K737" s="8">
        <f t="shared" si="149"/>
        <v>1.1606485744361617</v>
      </c>
      <c r="L737" s="8">
        <f t="shared" si="150"/>
        <v>7.2776622916895874</v>
      </c>
      <c r="M737" s="23">
        <v>0.83199999999999996</v>
      </c>
      <c r="N737" s="23">
        <f>0.737+0.577+0.439</f>
        <v>1.7530000000000001</v>
      </c>
      <c r="O737" s="25">
        <v>1.6419999999999999</v>
      </c>
      <c r="P737" s="25">
        <f>0.598+1.522+0.938</f>
        <v>3.0579999999999998</v>
      </c>
      <c r="Q737" s="25">
        <v>0.98899999999999999</v>
      </c>
      <c r="R737" s="25">
        <f>0.238+1.004+1.047</f>
        <v>2.2889999999999997</v>
      </c>
      <c r="S737" s="8"/>
      <c r="T737" s="8"/>
      <c r="U737" s="8">
        <v>2.1069711538461542</v>
      </c>
      <c r="V737" s="8">
        <v>1.8623629719853836</v>
      </c>
      <c r="W737" s="8">
        <v>2.3144590495449946</v>
      </c>
      <c r="X737" s="8"/>
      <c r="Y737" s="31">
        <f t="shared" si="151"/>
        <v>-0.3211006275249616</v>
      </c>
      <c r="Z737" s="31" t="str">
        <f t="shared" si="152"/>
        <v/>
      </c>
      <c r="AA737" s="31">
        <f t="shared" si="153"/>
        <v>-0.3211006275249616</v>
      </c>
    </row>
    <row r="738" spans="1:27" x14ac:dyDescent="0.25">
      <c r="A738" s="6" t="str">
        <f t="shared" si="147"/>
        <v>fragment</v>
      </c>
      <c r="B738" s="6" t="s">
        <v>1196</v>
      </c>
      <c r="C738" s="6" t="str">
        <f t="shared" si="148"/>
        <v>HC49 430</v>
      </c>
      <c r="D738" s="22" t="s">
        <v>715</v>
      </c>
      <c r="E738" s="24">
        <v>430</v>
      </c>
      <c r="F738" s="22"/>
      <c r="G738" s="22" t="s">
        <v>1034</v>
      </c>
      <c r="H738" s="22" t="s">
        <v>977</v>
      </c>
      <c r="I738" s="6" t="s">
        <v>20</v>
      </c>
      <c r="J738" s="30"/>
      <c r="K738" s="8" t="str">
        <f t="shared" si="149"/>
        <v/>
      </c>
      <c r="L738" s="8" t="str">
        <f t="shared" si="150"/>
        <v/>
      </c>
      <c r="M738" s="23">
        <v>2.2650000000000001</v>
      </c>
      <c r="N738" s="23">
        <f>0.947+1.531+0.624</f>
        <v>3.1019999999999999</v>
      </c>
      <c r="O738" s="25">
        <v>2.153</v>
      </c>
      <c r="P738" s="25">
        <f>0.892+1.441+0.744</f>
        <v>3.077</v>
      </c>
      <c r="Q738" s="25">
        <v>1.252</v>
      </c>
      <c r="R738" s="25">
        <f>1.091+1.028</f>
        <v>2.1189999999999998</v>
      </c>
      <c r="S738" s="8"/>
      <c r="T738" s="8"/>
      <c r="U738" s="8">
        <v>1.3695364238410594</v>
      </c>
      <c r="V738" s="8">
        <v>1.4291686019507663</v>
      </c>
      <c r="W738" s="8">
        <v>1.6924920127795526</v>
      </c>
      <c r="X738" s="8"/>
      <c r="Y738" s="31">
        <f t="shared" si="151"/>
        <v>-0.17524085420346489</v>
      </c>
      <c r="Z738" s="31">
        <f t="shared" si="152"/>
        <v>-0.17524085420346489</v>
      </c>
      <c r="AA738" s="31" t="str">
        <f t="shared" si="153"/>
        <v/>
      </c>
    </row>
    <row r="739" spans="1:27" x14ac:dyDescent="0.25">
      <c r="A739" s="6" t="str">
        <f t="shared" si="147"/>
        <v>complete</v>
      </c>
      <c r="B739" s="6" t="s">
        <v>1196</v>
      </c>
      <c r="C739" s="6" t="str">
        <f t="shared" si="148"/>
        <v>HC49 430</v>
      </c>
      <c r="D739" s="22" t="s">
        <v>715</v>
      </c>
      <c r="E739" s="24">
        <v>430</v>
      </c>
      <c r="F739" s="22"/>
      <c r="G739" s="22" t="s">
        <v>734</v>
      </c>
      <c r="H739" s="22" t="s">
        <v>977</v>
      </c>
      <c r="I739" s="6" t="s">
        <v>20</v>
      </c>
      <c r="J739" s="30">
        <v>7.4260000000000002</v>
      </c>
      <c r="K739" s="8">
        <f t="shared" si="149"/>
        <v>0.87075494489014005</v>
      </c>
      <c r="L739" s="8">
        <f t="shared" si="150"/>
        <v>6.6101575417429794</v>
      </c>
      <c r="M739" s="23">
        <v>0.71199999999999997</v>
      </c>
      <c r="N739" s="23">
        <f>0.098+0.915+0.314+0.919+0.325+0.401</f>
        <v>2.9720000000000004</v>
      </c>
      <c r="O739" s="25">
        <v>0.65</v>
      </c>
      <c r="P739" s="25">
        <f>0.466+1.011+0.292+0.644</f>
        <v>2.4129999999999998</v>
      </c>
      <c r="Q739" s="25">
        <v>0.65400000000000003</v>
      </c>
      <c r="R739" s="25">
        <f>0.453+0.879+0.494</f>
        <v>1.8260000000000001</v>
      </c>
      <c r="S739" s="8"/>
      <c r="T739" s="8"/>
      <c r="U739" s="8">
        <v>4.1741573033707873</v>
      </c>
      <c r="V739" s="8">
        <v>3.7123076923076921</v>
      </c>
      <c r="W739" s="8">
        <v>2.7920489296636086</v>
      </c>
      <c r="X739" s="8"/>
      <c r="Y739" s="31">
        <f t="shared" si="151"/>
        <v>-0.5513895636161662</v>
      </c>
      <c r="Z739" s="31" t="str">
        <f t="shared" si="152"/>
        <v/>
      </c>
      <c r="AA739" s="31">
        <f t="shared" si="153"/>
        <v>-0.5513895636161662</v>
      </c>
    </row>
    <row r="740" spans="1:27" x14ac:dyDescent="0.25">
      <c r="A740" s="6" t="str">
        <f t="shared" si="147"/>
        <v>fragment</v>
      </c>
      <c r="B740" s="6" t="s">
        <v>1196</v>
      </c>
      <c r="C740" s="6" t="str">
        <f t="shared" si="148"/>
        <v>HC49 430</v>
      </c>
      <c r="D740" s="22" t="s">
        <v>715</v>
      </c>
      <c r="E740" s="24">
        <v>430</v>
      </c>
      <c r="F740" s="22"/>
      <c r="G740" s="22" t="s">
        <v>1035</v>
      </c>
      <c r="H740" s="22" t="s">
        <v>977</v>
      </c>
      <c r="I740" s="6" t="s">
        <v>20</v>
      </c>
      <c r="J740" s="30"/>
      <c r="K740" s="8" t="str">
        <f t="shared" si="149"/>
        <v/>
      </c>
      <c r="L740" s="8" t="str">
        <f t="shared" si="150"/>
        <v/>
      </c>
      <c r="M740" s="25"/>
      <c r="N740" s="25"/>
      <c r="O740" s="23">
        <v>0.83499999999999996</v>
      </c>
      <c r="P740" s="23">
        <f>0.587+0.209+0.385</f>
        <v>1.181</v>
      </c>
      <c r="Q740" s="23">
        <v>0.64100000000000001</v>
      </c>
      <c r="R740" s="23">
        <f>0.484+0.971+0.343</f>
        <v>1.798</v>
      </c>
      <c r="S740" s="8"/>
      <c r="T740" s="8"/>
      <c r="U740" s="8"/>
      <c r="V740" s="8">
        <v>1.41437125748503</v>
      </c>
      <c r="W740" s="8">
        <v>2.8049921996879874</v>
      </c>
      <c r="X740" s="8"/>
      <c r="Y740" s="31">
        <f t="shared" si="151"/>
        <v>-0.32421694157993874</v>
      </c>
      <c r="Z740" s="31">
        <f t="shared" si="152"/>
        <v>-0.32421694157993874</v>
      </c>
      <c r="AA740" s="31" t="str">
        <f t="shared" si="153"/>
        <v/>
      </c>
    </row>
    <row r="741" spans="1:27" x14ac:dyDescent="0.25">
      <c r="A741" s="6" t="str">
        <f t="shared" si="147"/>
        <v>fragment</v>
      </c>
      <c r="B741" s="6" t="s">
        <v>1196</v>
      </c>
      <c r="C741" s="6" t="str">
        <f t="shared" si="148"/>
        <v>HC49 430</v>
      </c>
      <c r="D741" s="22" t="s">
        <v>715</v>
      </c>
      <c r="E741" s="24">
        <v>430</v>
      </c>
      <c r="F741" s="22"/>
      <c r="G741" s="22" t="s">
        <v>1036</v>
      </c>
      <c r="H741" s="22" t="s">
        <v>977</v>
      </c>
      <c r="I741" s="6" t="s">
        <v>20</v>
      </c>
      <c r="J741" s="30"/>
      <c r="K741" s="8" t="str">
        <f t="shared" si="149"/>
        <v/>
      </c>
      <c r="L741" s="8" t="str">
        <f t="shared" si="150"/>
        <v/>
      </c>
      <c r="M741" s="23"/>
      <c r="N741" s="23"/>
      <c r="O741" s="23">
        <v>0.502</v>
      </c>
      <c r="P741" s="23">
        <f>1.073+0.459+0.382</f>
        <v>1.9140000000000001</v>
      </c>
      <c r="Q741" s="23">
        <v>0.57199999999999995</v>
      </c>
      <c r="R741" s="23">
        <f>0.308+0.617+0.597+0.492</f>
        <v>2.0140000000000002</v>
      </c>
      <c r="S741" s="8"/>
      <c r="T741" s="8"/>
      <c r="U741" s="8"/>
      <c r="V741" s="8">
        <v>3.8127490039840639</v>
      </c>
      <c r="W741" s="8">
        <v>3.5209790209790217</v>
      </c>
      <c r="X741" s="8"/>
      <c r="Y741" s="31">
        <f t="shared" si="151"/>
        <v>-0.56429480422731404</v>
      </c>
      <c r="Z741" s="31">
        <f t="shared" si="152"/>
        <v>-0.56429480422731404</v>
      </c>
      <c r="AA741" s="31" t="str">
        <f t="shared" si="153"/>
        <v/>
      </c>
    </row>
    <row r="742" spans="1:27" x14ac:dyDescent="0.25">
      <c r="A742" s="6" t="str">
        <f t="shared" si="147"/>
        <v>complete</v>
      </c>
      <c r="B742" s="6" t="s">
        <v>1196</v>
      </c>
      <c r="C742" s="6" t="str">
        <f t="shared" si="148"/>
        <v>HC49 430</v>
      </c>
      <c r="D742" s="22" t="s">
        <v>715</v>
      </c>
      <c r="E742" s="24">
        <v>430</v>
      </c>
      <c r="F742" s="22"/>
      <c r="G742" s="22" t="s">
        <v>1037</v>
      </c>
      <c r="H742" s="22" t="s">
        <v>977</v>
      </c>
      <c r="I742" s="6" t="s">
        <v>20</v>
      </c>
      <c r="J742" s="30">
        <v>13.106</v>
      </c>
      <c r="K742" s="8">
        <f t="shared" si="149"/>
        <v>1.1174701636201199</v>
      </c>
      <c r="L742" s="8">
        <f t="shared" si="150"/>
        <v>7.1782403266053967</v>
      </c>
      <c r="M742" s="23"/>
      <c r="N742" s="23"/>
      <c r="O742" s="23">
        <v>0.76600000000000001</v>
      </c>
      <c r="P742" s="23">
        <f>0.873+0.796</f>
        <v>1.669</v>
      </c>
      <c r="Q742" s="23">
        <v>0.55700000000000005</v>
      </c>
      <c r="R742" s="23">
        <f>0.221+0.816+0.77+0.284</f>
        <v>2.0909999999999997</v>
      </c>
      <c r="S742" s="8"/>
      <c r="T742" s="8"/>
      <c r="U742" s="8"/>
      <c r="V742" s="8">
        <v>2.1788511749347257</v>
      </c>
      <c r="W742" s="8">
        <v>3.754039497307001</v>
      </c>
      <c r="X742" s="8"/>
      <c r="Y742" s="31">
        <f t="shared" si="151"/>
        <v>-0.47223634982843554</v>
      </c>
      <c r="Z742" s="31" t="str">
        <f t="shared" si="152"/>
        <v/>
      </c>
      <c r="AA742" s="31">
        <f t="shared" si="153"/>
        <v>-0.47223634982843554</v>
      </c>
    </row>
    <row r="743" spans="1:27" x14ac:dyDescent="0.25">
      <c r="A743" s="6" t="str">
        <f t="shared" si="147"/>
        <v>complete</v>
      </c>
      <c r="B743" s="6" t="s">
        <v>1196</v>
      </c>
      <c r="C743" s="6" t="str">
        <f t="shared" si="148"/>
        <v>HC49 430</v>
      </c>
      <c r="D743" s="22" t="s">
        <v>715</v>
      </c>
      <c r="E743" s="24">
        <v>430</v>
      </c>
      <c r="F743" s="22"/>
      <c r="G743" s="22" t="s">
        <v>739</v>
      </c>
      <c r="H743" s="22" t="s">
        <v>977</v>
      </c>
      <c r="I743" s="6" t="s">
        <v>20</v>
      </c>
      <c r="J743" s="30">
        <f>7.049*2</f>
        <v>14.098000000000001</v>
      </c>
      <c r="K743" s="8">
        <f t="shared" si="149"/>
        <v>1.149157506231856</v>
      </c>
      <c r="L743" s="8">
        <f t="shared" si="150"/>
        <v>7.2512031293397756</v>
      </c>
      <c r="M743" s="23">
        <v>0.92600000000000005</v>
      </c>
      <c r="N743" s="23">
        <f>0.447+0.296+0.629+0.705+0.14</f>
        <v>2.2170000000000001</v>
      </c>
      <c r="O743" s="23">
        <v>1.268</v>
      </c>
      <c r="P743" s="23">
        <f>0.486+1.404+0.436</f>
        <v>2.3260000000000001</v>
      </c>
      <c r="Q743" s="23">
        <v>1.1599999999999999</v>
      </c>
      <c r="R743" s="23">
        <f>0.181+0.944+0.922+0.85+0.392</f>
        <v>3.2890000000000001</v>
      </c>
      <c r="S743" s="8"/>
      <c r="T743" s="8"/>
      <c r="U743" s="8">
        <v>2.3941684665226783</v>
      </c>
      <c r="V743" s="8">
        <v>1.834384858044164</v>
      </c>
      <c r="W743" s="8">
        <v>2.8353448275862072</v>
      </c>
      <c r="X743" s="8"/>
      <c r="Y743" s="31">
        <f t="shared" si="151"/>
        <v>-0.37192317420251214</v>
      </c>
      <c r="Z743" s="31" t="str">
        <f t="shared" si="152"/>
        <v/>
      </c>
      <c r="AA743" s="31">
        <f t="shared" si="153"/>
        <v>-0.37192317420251214</v>
      </c>
    </row>
    <row r="744" spans="1:27" x14ac:dyDescent="0.25">
      <c r="A744" s="6" t="str">
        <f t="shared" si="147"/>
        <v>complete</v>
      </c>
      <c r="B744" s="6" t="s">
        <v>1196</v>
      </c>
      <c r="C744" s="6" t="str">
        <f t="shared" si="148"/>
        <v>HC49 430</v>
      </c>
      <c r="D744" s="22" t="s">
        <v>715</v>
      </c>
      <c r="E744" s="24">
        <v>430</v>
      </c>
      <c r="F744" s="22"/>
      <c r="G744" s="22" t="s">
        <v>1038</v>
      </c>
      <c r="H744" s="22" t="s">
        <v>977</v>
      </c>
      <c r="I744" s="6" t="s">
        <v>20</v>
      </c>
      <c r="J744" s="30">
        <f>5.767*2</f>
        <v>11.534000000000001</v>
      </c>
      <c r="K744" s="8">
        <f t="shared" si="149"/>
        <v>1.0619799470748785</v>
      </c>
      <c r="L744" s="8">
        <f t="shared" si="150"/>
        <v>7.0504693811813119</v>
      </c>
      <c r="M744" s="23"/>
      <c r="N744" s="23"/>
      <c r="O744" s="23">
        <v>0.75700000000000001</v>
      </c>
      <c r="P744" s="23">
        <f>0.534+0.883</f>
        <v>1.417</v>
      </c>
      <c r="Q744" s="23">
        <v>0.65900000000000003</v>
      </c>
      <c r="R744" s="23">
        <f>0.615+0.975</f>
        <v>1.5899999999999999</v>
      </c>
      <c r="S744" s="8"/>
      <c r="T744" s="8"/>
      <c r="U744" s="8"/>
      <c r="V744" s="8">
        <v>1.8718626155878468</v>
      </c>
      <c r="W744" s="8">
        <v>2.4127465857359631</v>
      </c>
      <c r="X744" s="8"/>
      <c r="Y744" s="31">
        <f t="shared" si="151"/>
        <v>-0.33088122045555851</v>
      </c>
      <c r="Z744" s="31" t="str">
        <f t="shared" si="152"/>
        <v/>
      </c>
      <c r="AA744" s="31">
        <f t="shared" si="153"/>
        <v>-0.33088122045555851</v>
      </c>
    </row>
    <row r="745" spans="1:27" x14ac:dyDescent="0.25">
      <c r="A745" s="6" t="str">
        <f t="shared" si="147"/>
        <v>complete</v>
      </c>
      <c r="B745" s="6" t="s">
        <v>1196</v>
      </c>
      <c r="C745" s="6" t="str">
        <f t="shared" si="148"/>
        <v>HC49 430</v>
      </c>
      <c r="D745" s="22" t="s">
        <v>715</v>
      </c>
      <c r="E745" s="24">
        <v>430</v>
      </c>
      <c r="F745" s="22"/>
      <c r="G745" s="22" t="s">
        <v>741</v>
      </c>
      <c r="H745" s="22" t="s">
        <v>977</v>
      </c>
      <c r="I745" s="6" t="s">
        <v>20</v>
      </c>
      <c r="J745" s="30">
        <v>8.2129999999999992</v>
      </c>
      <c r="K745" s="8">
        <f t="shared" si="149"/>
        <v>0.91450182282731407</v>
      </c>
      <c r="L745" s="8">
        <f t="shared" si="150"/>
        <v>6.7108884507461468</v>
      </c>
      <c r="M745" s="23">
        <v>0.47</v>
      </c>
      <c r="N745" s="23">
        <f>0.874+0.48</f>
        <v>1.3540000000000001</v>
      </c>
      <c r="O745" s="23">
        <v>0.751</v>
      </c>
      <c r="P745" s="23">
        <f>0.183+1.171+0.835+0.266</f>
        <v>2.4550000000000001</v>
      </c>
      <c r="Q745" s="23">
        <v>0.58499999999999996</v>
      </c>
      <c r="R745" s="23">
        <f>0.299+1.052+0.998+0.085</f>
        <v>2.4340000000000002</v>
      </c>
      <c r="S745" s="8"/>
      <c r="T745" s="8"/>
      <c r="U745" s="8">
        <v>2.8808510638297875</v>
      </c>
      <c r="V745" s="8">
        <v>3.2689747003994674</v>
      </c>
      <c r="W745" s="8">
        <v>4.160683760683761</v>
      </c>
      <c r="X745" s="8"/>
      <c r="Y745" s="31">
        <f t="shared" si="151"/>
        <v>-0.53615887306534016</v>
      </c>
      <c r="Z745" s="31" t="str">
        <f t="shared" si="152"/>
        <v/>
      </c>
      <c r="AA745" s="31">
        <f t="shared" si="153"/>
        <v>-0.53615887306534016</v>
      </c>
    </row>
    <row r="746" spans="1:27" x14ac:dyDescent="0.25">
      <c r="A746" s="6" t="str">
        <f t="shared" si="147"/>
        <v>complete</v>
      </c>
      <c r="B746" s="6" t="s">
        <v>1196</v>
      </c>
      <c r="C746" s="6" t="str">
        <f t="shared" si="148"/>
        <v>HC49 430</v>
      </c>
      <c r="D746" s="22" t="s">
        <v>715</v>
      </c>
      <c r="E746" s="24">
        <v>430</v>
      </c>
      <c r="F746" s="22"/>
      <c r="G746" s="22" t="s">
        <v>742</v>
      </c>
      <c r="H746" s="22" t="s">
        <v>977</v>
      </c>
      <c r="I746" s="6" t="s">
        <v>20</v>
      </c>
      <c r="J746" s="30">
        <v>2.569</v>
      </c>
      <c r="K746" s="8">
        <f t="shared" si="149"/>
        <v>0.40976410426634619</v>
      </c>
      <c r="L746" s="8">
        <f t="shared" si="150"/>
        <v>5.5486869041158382</v>
      </c>
      <c r="M746" s="23"/>
      <c r="N746" s="23"/>
      <c r="O746" s="23">
        <v>0.31900000000000001</v>
      </c>
      <c r="P746" s="23">
        <f>0.623+0.438</f>
        <v>1.0609999999999999</v>
      </c>
      <c r="Q746" s="23">
        <v>0.26900000000000002</v>
      </c>
      <c r="R746" s="23">
        <f>0.293+0.569+0.384</f>
        <v>1.246</v>
      </c>
      <c r="S746" s="8"/>
      <c r="T746" s="8"/>
      <c r="U746" s="8"/>
      <c r="V746" s="8">
        <v>3.3260188087774294</v>
      </c>
      <c r="W746" s="8">
        <v>4.6319702602230484</v>
      </c>
      <c r="X746" s="8"/>
      <c r="Y746" s="31">
        <f t="shared" si="151"/>
        <v>-0.59977334260504189</v>
      </c>
      <c r="Z746" s="31" t="str">
        <f t="shared" si="152"/>
        <v/>
      </c>
      <c r="AA746" s="31">
        <f t="shared" si="153"/>
        <v>-0.59977334260504189</v>
      </c>
    </row>
    <row r="747" spans="1:27" x14ac:dyDescent="0.25">
      <c r="A747" s="6" t="str">
        <f t="shared" si="147"/>
        <v>fragment</v>
      </c>
      <c r="B747" s="6" t="s">
        <v>1196</v>
      </c>
      <c r="C747" s="6" t="str">
        <f t="shared" si="148"/>
        <v>HC49 430</v>
      </c>
      <c r="D747" s="22" t="s">
        <v>715</v>
      </c>
      <c r="E747" s="24">
        <v>430</v>
      </c>
      <c r="F747" s="22"/>
      <c r="G747" s="22" t="s">
        <v>1039</v>
      </c>
      <c r="H747" s="22" t="s">
        <v>977</v>
      </c>
      <c r="I747" s="6" t="s">
        <v>20</v>
      </c>
      <c r="J747" s="30"/>
      <c r="K747" s="8" t="str">
        <f t="shared" si="149"/>
        <v/>
      </c>
      <c r="L747" s="8" t="str">
        <f t="shared" si="150"/>
        <v/>
      </c>
      <c r="M747" s="23"/>
      <c r="N747" s="23"/>
      <c r="O747" s="23">
        <v>1.4359999999999999</v>
      </c>
      <c r="P747" s="23">
        <f>0.66+1.545+0.535</f>
        <v>2.74</v>
      </c>
      <c r="Q747" s="23">
        <v>0.88700000000000001</v>
      </c>
      <c r="R747" s="23">
        <f>0.36+0.829+0.462</f>
        <v>1.651</v>
      </c>
      <c r="S747" s="8"/>
      <c r="T747" s="8"/>
      <c r="U747" s="8"/>
      <c r="V747" s="8">
        <v>1.9080779944289696</v>
      </c>
      <c r="W747" s="8">
        <v>1.8613303269447576</v>
      </c>
      <c r="X747" s="8"/>
      <c r="Y747" s="31">
        <f t="shared" si="151"/>
        <v>-0.27524318930867281</v>
      </c>
      <c r="Z747" s="31">
        <f t="shared" si="152"/>
        <v>-0.27524318930867281</v>
      </c>
      <c r="AA747" s="31" t="str">
        <f t="shared" si="153"/>
        <v/>
      </c>
    </row>
    <row r="748" spans="1:27" x14ac:dyDescent="0.25">
      <c r="A748" s="6" t="str">
        <f t="shared" si="147"/>
        <v>fragment</v>
      </c>
      <c r="B748" s="6" t="s">
        <v>1196</v>
      </c>
      <c r="C748" s="6" t="str">
        <f t="shared" si="148"/>
        <v>HC49 430</v>
      </c>
      <c r="D748" s="22" t="s">
        <v>715</v>
      </c>
      <c r="E748" s="24">
        <v>430</v>
      </c>
      <c r="F748" s="22"/>
      <c r="G748" s="22" t="s">
        <v>1040</v>
      </c>
      <c r="H748" s="22" t="s">
        <v>977</v>
      </c>
      <c r="I748" s="6" t="s">
        <v>20</v>
      </c>
      <c r="J748" s="30"/>
      <c r="K748" s="8" t="str">
        <f t="shared" si="149"/>
        <v/>
      </c>
      <c r="L748" s="8" t="str">
        <f t="shared" si="150"/>
        <v/>
      </c>
      <c r="M748" s="23">
        <v>0.82399999999999995</v>
      </c>
      <c r="N748" s="23">
        <f>1.015+0.438</f>
        <v>1.4529999999999998</v>
      </c>
      <c r="O748" s="23">
        <v>0.94099999999999995</v>
      </c>
      <c r="P748" s="23">
        <f>0.789+0.719</f>
        <v>1.508</v>
      </c>
      <c r="Q748" s="23">
        <v>0.88200000000000001</v>
      </c>
      <c r="R748" s="23">
        <f>0.548+0.918+0.417</f>
        <v>1.8830000000000002</v>
      </c>
      <c r="S748" s="8"/>
      <c r="T748" s="8"/>
      <c r="U748" s="8">
        <v>1.7633495145631066</v>
      </c>
      <c r="V748" s="8">
        <v>1.6025504782146653</v>
      </c>
      <c r="W748" s="8">
        <v>2.1349206349206353</v>
      </c>
      <c r="X748" s="8"/>
      <c r="Y748" s="31">
        <f t="shared" si="151"/>
        <v>-0.26330622886473842</v>
      </c>
      <c r="Z748" s="31">
        <f t="shared" si="152"/>
        <v>-0.26330622886473842</v>
      </c>
      <c r="AA748" s="31" t="str">
        <f t="shared" si="153"/>
        <v/>
      </c>
    </row>
    <row r="749" spans="1:27" x14ac:dyDescent="0.25">
      <c r="A749" s="6" t="str">
        <f t="shared" si="147"/>
        <v>fragment</v>
      </c>
      <c r="B749" s="6" t="s">
        <v>1196</v>
      </c>
      <c r="C749" s="6" t="str">
        <f t="shared" si="148"/>
        <v>HC49 430</v>
      </c>
      <c r="D749" s="22" t="s">
        <v>715</v>
      </c>
      <c r="E749" s="24">
        <v>430</v>
      </c>
      <c r="F749" s="22"/>
      <c r="G749" s="22" t="s">
        <v>1041</v>
      </c>
      <c r="H749" s="22" t="s">
        <v>977</v>
      </c>
      <c r="I749" s="6" t="s">
        <v>20</v>
      </c>
      <c r="J749" s="30"/>
      <c r="K749" s="8" t="str">
        <f t="shared" si="149"/>
        <v/>
      </c>
      <c r="L749" s="8" t="str">
        <f t="shared" si="150"/>
        <v/>
      </c>
      <c r="M749" s="23"/>
      <c r="N749" s="23"/>
      <c r="O749" s="23">
        <v>0.54</v>
      </c>
      <c r="P749" s="23">
        <f>0.371+0.404</f>
        <v>0.77500000000000002</v>
      </c>
      <c r="Q749" s="23">
        <v>0.66100000000000003</v>
      </c>
      <c r="R749" s="23">
        <f>0.569+0.631+0.338</f>
        <v>1.538</v>
      </c>
      <c r="S749" s="8"/>
      <c r="T749" s="8"/>
      <c r="U749" s="8"/>
      <c r="V749" s="8">
        <v>1.4351851851851851</v>
      </c>
      <c r="W749" s="8">
        <v>2.3267776096822996</v>
      </c>
      <c r="X749" s="8"/>
      <c r="Y749" s="31">
        <f t="shared" si="151"/>
        <v>-0.27438450047763852</v>
      </c>
      <c r="Z749" s="31">
        <f t="shared" si="152"/>
        <v>-0.27438450047763852</v>
      </c>
      <c r="AA749" s="31" t="str">
        <f t="shared" si="153"/>
        <v/>
      </c>
    </row>
    <row r="750" spans="1:27" x14ac:dyDescent="0.25">
      <c r="A750" s="6" t="str">
        <f t="shared" si="147"/>
        <v>fragment</v>
      </c>
      <c r="B750" s="6" t="s">
        <v>1196</v>
      </c>
      <c r="C750" s="6" t="str">
        <f t="shared" si="148"/>
        <v>HC49 430</v>
      </c>
      <c r="D750" s="22" t="s">
        <v>715</v>
      </c>
      <c r="E750" s="24">
        <v>430</v>
      </c>
      <c r="F750" s="22"/>
      <c r="G750" s="22" t="s">
        <v>1042</v>
      </c>
      <c r="H750" s="22" t="s">
        <v>977</v>
      </c>
      <c r="I750" s="6" t="s">
        <v>20</v>
      </c>
      <c r="J750" s="30"/>
      <c r="K750" s="8" t="str">
        <f t="shared" si="149"/>
        <v/>
      </c>
      <c r="L750" s="8" t="str">
        <f t="shared" si="150"/>
        <v/>
      </c>
      <c r="M750" s="23">
        <v>1.0509999999999999</v>
      </c>
      <c r="N750" s="23">
        <f>0.827+0.247+1.015+0.59</f>
        <v>2.6789999999999994</v>
      </c>
      <c r="O750" s="23">
        <v>0.88400000000000001</v>
      </c>
      <c r="P750" s="23">
        <f>0.849+1.361+0.339</f>
        <v>2.5489999999999999</v>
      </c>
      <c r="Q750" s="23">
        <v>0.83399999999999996</v>
      </c>
      <c r="R750" s="23">
        <f>0.534+1.1+0.813</f>
        <v>2.4470000000000001</v>
      </c>
      <c r="S750" s="8"/>
      <c r="T750" s="8"/>
      <c r="U750" s="8">
        <v>2.5490009514747856</v>
      </c>
      <c r="V750" s="8">
        <v>2.8834841628959276</v>
      </c>
      <c r="W750" s="8">
        <v>2.9340527577937654</v>
      </c>
      <c r="X750" s="8"/>
      <c r="Y750" s="31">
        <f t="shared" si="151"/>
        <v>-0.44542452656297299</v>
      </c>
      <c r="Z750" s="31">
        <f t="shared" si="152"/>
        <v>-0.44542452656297299</v>
      </c>
      <c r="AA750" s="31" t="str">
        <f t="shared" si="153"/>
        <v/>
      </c>
    </row>
    <row r="751" spans="1:27" x14ac:dyDescent="0.25">
      <c r="A751" s="6" t="str">
        <f t="shared" si="147"/>
        <v>fragment</v>
      </c>
      <c r="B751" s="6" t="s">
        <v>1196</v>
      </c>
      <c r="C751" s="6" t="str">
        <f t="shared" si="148"/>
        <v>HC49 430</v>
      </c>
      <c r="D751" s="22" t="s">
        <v>715</v>
      </c>
      <c r="E751" s="24">
        <v>430</v>
      </c>
      <c r="F751" s="22"/>
      <c r="G751" s="22" t="s">
        <v>1043</v>
      </c>
      <c r="H751" s="22" t="s">
        <v>977</v>
      </c>
      <c r="I751" s="6" t="s">
        <v>20</v>
      </c>
      <c r="J751" s="30"/>
      <c r="K751" s="8" t="str">
        <f t="shared" si="149"/>
        <v/>
      </c>
      <c r="L751" s="8" t="str">
        <f t="shared" si="150"/>
        <v/>
      </c>
      <c r="M751" s="23">
        <v>0.42499999999999999</v>
      </c>
      <c r="N751" s="23">
        <f>0.303+0.809+0.564+0.348</f>
        <v>2.024</v>
      </c>
      <c r="O751" s="23">
        <v>0.55300000000000005</v>
      </c>
      <c r="P751" s="23">
        <f>0.207+1.279+0.584+0.325</f>
        <v>2.395</v>
      </c>
      <c r="Q751" s="23">
        <v>0.69399999999999995</v>
      </c>
      <c r="R751" s="23">
        <f>1.168+0.88</f>
        <v>2.048</v>
      </c>
      <c r="S751" s="8"/>
      <c r="T751" s="8"/>
      <c r="U751" s="8">
        <v>4.7623529411764709</v>
      </c>
      <c r="V751" s="8">
        <v>4.3309222423146467</v>
      </c>
      <c r="W751" s="8">
        <v>2.9510086455331415</v>
      </c>
      <c r="X751" s="8"/>
      <c r="Y751" s="31">
        <f t="shared" si="151"/>
        <v>-0.60365972658856393</v>
      </c>
      <c r="Z751" s="31">
        <f t="shared" si="152"/>
        <v>-0.60365972658856393</v>
      </c>
      <c r="AA751" s="31" t="str">
        <f t="shared" si="153"/>
        <v/>
      </c>
    </row>
    <row r="752" spans="1:27" x14ac:dyDescent="0.25">
      <c r="A752" s="6" t="str">
        <f t="shared" si="147"/>
        <v>fragment</v>
      </c>
      <c r="B752" s="6" t="s">
        <v>1196</v>
      </c>
      <c r="C752" s="6" t="str">
        <f t="shared" si="148"/>
        <v>HC49 430</v>
      </c>
      <c r="D752" s="22" t="s">
        <v>715</v>
      </c>
      <c r="E752" s="24">
        <v>430</v>
      </c>
      <c r="F752" s="22"/>
      <c r="G752" s="22" t="s">
        <v>1044</v>
      </c>
      <c r="H752" s="22" t="s">
        <v>977</v>
      </c>
      <c r="I752" s="6" t="s">
        <v>20</v>
      </c>
      <c r="J752" s="30"/>
      <c r="K752" s="8" t="str">
        <f t="shared" si="149"/>
        <v/>
      </c>
      <c r="L752" s="8" t="str">
        <f t="shared" si="150"/>
        <v/>
      </c>
      <c r="M752" s="23">
        <v>0.63300000000000001</v>
      </c>
      <c r="N752" s="23">
        <f>0.665+0.691</f>
        <v>1.3559999999999999</v>
      </c>
      <c r="O752" s="23">
        <v>0.66400000000000003</v>
      </c>
      <c r="P752" s="23">
        <f>0.95+0.654</f>
        <v>1.6040000000000001</v>
      </c>
      <c r="Q752" s="23">
        <v>0.48599999999999999</v>
      </c>
      <c r="R752" s="23">
        <f>0.217+0.744+0.73+0.214</f>
        <v>1.9049999999999998</v>
      </c>
      <c r="S752" s="8"/>
      <c r="T752" s="8"/>
      <c r="U752" s="8">
        <v>2.1421800947867298</v>
      </c>
      <c r="V752" s="8">
        <v>2.4156626506024095</v>
      </c>
      <c r="W752" s="8">
        <v>3.9197530864197527</v>
      </c>
      <c r="X752" s="8"/>
      <c r="Y752" s="31">
        <f t="shared" si="151"/>
        <v>-0.45115145307762256</v>
      </c>
      <c r="Z752" s="31">
        <f t="shared" si="152"/>
        <v>-0.45115145307762256</v>
      </c>
      <c r="AA752" s="31" t="str">
        <f t="shared" si="153"/>
        <v/>
      </c>
    </row>
    <row r="753" spans="1:27" x14ac:dyDescent="0.25">
      <c r="A753" s="6" t="str">
        <f t="shared" si="147"/>
        <v>fragment</v>
      </c>
      <c r="B753" s="6" t="s">
        <v>1196</v>
      </c>
      <c r="C753" s="6" t="str">
        <f t="shared" si="148"/>
        <v>HC49 430</v>
      </c>
      <c r="D753" s="22" t="s">
        <v>715</v>
      </c>
      <c r="E753" s="24">
        <v>430</v>
      </c>
      <c r="F753" s="22"/>
      <c r="G753" s="22" t="s">
        <v>1045</v>
      </c>
      <c r="H753" s="22" t="s">
        <v>977</v>
      </c>
      <c r="I753" s="6" t="s">
        <v>20</v>
      </c>
      <c r="J753" s="30"/>
      <c r="K753" s="8" t="str">
        <f t="shared" si="149"/>
        <v/>
      </c>
      <c r="L753" s="8" t="str">
        <f t="shared" si="150"/>
        <v/>
      </c>
      <c r="M753" s="23"/>
      <c r="N753" s="23"/>
      <c r="O753" s="23">
        <v>0.40699999999999997</v>
      </c>
      <c r="P753" s="23">
        <f>0.277+0.779+0.349</f>
        <v>1.405</v>
      </c>
      <c r="Q753" s="23">
        <v>0.41599999999999998</v>
      </c>
      <c r="R753" s="23">
        <f>0.296+0.673+0.364</f>
        <v>1.3330000000000002</v>
      </c>
      <c r="S753" s="8"/>
      <c r="T753" s="8"/>
      <c r="U753" s="8"/>
      <c r="V753" s="8">
        <v>3.4520884520884523</v>
      </c>
      <c r="W753" s="8">
        <v>3.2043269230769238</v>
      </c>
      <c r="X753" s="8"/>
      <c r="Y753" s="31">
        <f t="shared" si="151"/>
        <v>-0.52221041940858959</v>
      </c>
      <c r="Z753" s="31">
        <f t="shared" si="152"/>
        <v>-0.52221041940858959</v>
      </c>
      <c r="AA753" s="31" t="str">
        <f t="shared" si="153"/>
        <v/>
      </c>
    </row>
    <row r="754" spans="1:27" x14ac:dyDescent="0.25">
      <c r="A754" s="6" t="str">
        <f t="shared" si="147"/>
        <v>fragment</v>
      </c>
      <c r="B754" s="6" t="s">
        <v>1196</v>
      </c>
      <c r="C754" s="6" t="str">
        <f t="shared" si="148"/>
        <v>HC49 430</v>
      </c>
      <c r="D754" s="22" t="s">
        <v>715</v>
      </c>
      <c r="E754" s="24">
        <v>430</v>
      </c>
      <c r="F754" s="22"/>
      <c r="G754" s="22" t="s">
        <v>1046</v>
      </c>
      <c r="H754" s="22" t="s">
        <v>977</v>
      </c>
      <c r="I754" s="6" t="s">
        <v>20</v>
      </c>
      <c r="J754" s="30"/>
      <c r="K754" s="8" t="str">
        <f t="shared" si="149"/>
        <v/>
      </c>
      <c r="L754" s="8" t="str">
        <f t="shared" si="150"/>
        <v/>
      </c>
      <c r="M754" s="23"/>
      <c r="N754" s="23"/>
      <c r="O754" s="23">
        <v>0.57699999999999996</v>
      </c>
      <c r="P754" s="23">
        <f>0.316+0.976+0.24</f>
        <v>1.532</v>
      </c>
      <c r="Q754" s="23">
        <v>0.4</v>
      </c>
      <c r="R754" s="23">
        <f>0.406+0.518+0.494</f>
        <v>1.4180000000000001</v>
      </c>
      <c r="S754" s="8"/>
      <c r="T754" s="8"/>
      <c r="U754" s="8"/>
      <c r="V754" s="8">
        <v>2.6551126516464474</v>
      </c>
      <c r="W754" s="8">
        <v>3.5450000000000004</v>
      </c>
      <c r="X754" s="8"/>
      <c r="Y754" s="31">
        <f t="shared" si="151"/>
        <v>-0.49136958472846137</v>
      </c>
      <c r="Z754" s="31">
        <f t="shared" si="152"/>
        <v>-0.49136958472846137</v>
      </c>
      <c r="AA754" s="31" t="str">
        <f t="shared" si="153"/>
        <v/>
      </c>
    </row>
    <row r="755" spans="1:27" x14ac:dyDescent="0.25">
      <c r="A755" s="6" t="str">
        <f t="shared" si="147"/>
        <v>fragment</v>
      </c>
      <c r="B755" s="6" t="s">
        <v>1196</v>
      </c>
      <c r="C755" s="6" t="str">
        <f t="shared" si="148"/>
        <v>HC49 430</v>
      </c>
      <c r="D755" s="22" t="s">
        <v>715</v>
      </c>
      <c r="E755" s="24">
        <v>430</v>
      </c>
      <c r="F755" s="22"/>
      <c r="G755" s="22" t="s">
        <v>1047</v>
      </c>
      <c r="H755" s="22" t="s">
        <v>977</v>
      </c>
      <c r="I755" s="6" t="s">
        <v>20</v>
      </c>
      <c r="J755" s="30"/>
      <c r="K755" s="8" t="str">
        <f t="shared" si="149"/>
        <v/>
      </c>
      <c r="L755" s="8" t="str">
        <f t="shared" si="150"/>
        <v/>
      </c>
      <c r="M755" s="23">
        <v>1.494</v>
      </c>
      <c r="N755" s="23">
        <f>1.504+0.646+0.602</f>
        <v>2.7519999999999998</v>
      </c>
      <c r="O755" s="23">
        <v>1.1919999999999999</v>
      </c>
      <c r="P755" s="23">
        <f>0.917+0.639</f>
        <v>1.556</v>
      </c>
      <c r="Q755" s="23">
        <v>0.70899999999999996</v>
      </c>
      <c r="R755" s="23">
        <f>0.414+0.595</f>
        <v>1.0089999999999999</v>
      </c>
      <c r="S755" s="8"/>
      <c r="T755" s="8"/>
      <c r="U755" s="8">
        <v>1.8420348058902274</v>
      </c>
      <c r="V755" s="8">
        <v>1.3053691275167787</v>
      </c>
      <c r="W755" s="8">
        <v>1.4231311706629055</v>
      </c>
      <c r="X755" s="8"/>
      <c r="Y755" s="31">
        <f t="shared" si="151"/>
        <v>-0.1828457941774011</v>
      </c>
      <c r="Z755" s="31">
        <f t="shared" si="152"/>
        <v>-0.1828457941774011</v>
      </c>
      <c r="AA755" s="31" t="str">
        <f t="shared" si="153"/>
        <v/>
      </c>
    </row>
    <row r="756" spans="1:27" x14ac:dyDescent="0.25">
      <c r="A756" s="6" t="str">
        <f t="shared" si="147"/>
        <v>fragment</v>
      </c>
      <c r="B756" s="6" t="s">
        <v>1196</v>
      </c>
      <c r="C756" s="6" t="str">
        <f t="shared" si="148"/>
        <v>HC49 430</v>
      </c>
      <c r="D756" s="22" t="s">
        <v>715</v>
      </c>
      <c r="E756" s="24">
        <v>430</v>
      </c>
      <c r="F756" s="22"/>
      <c r="G756" s="22" t="s">
        <v>1048</v>
      </c>
      <c r="H756" s="22" t="s">
        <v>977</v>
      </c>
      <c r="I756" s="6" t="s">
        <v>20</v>
      </c>
      <c r="J756" s="30"/>
      <c r="K756" s="8" t="str">
        <f t="shared" si="149"/>
        <v/>
      </c>
      <c r="L756" s="8" t="str">
        <f t="shared" si="150"/>
        <v/>
      </c>
      <c r="M756" s="23"/>
      <c r="N756" s="23"/>
      <c r="O756" s="23">
        <v>0.55400000000000005</v>
      </c>
      <c r="P756" s="23">
        <f>0.173+0.685+0.619+0.395</f>
        <v>1.8720000000000001</v>
      </c>
      <c r="Q756" s="23">
        <v>0.308</v>
      </c>
      <c r="R756" s="23">
        <f>0.123+0.483+0.409+0.242</f>
        <v>1.2569999999999999</v>
      </c>
      <c r="S756" s="8"/>
      <c r="T756" s="8"/>
      <c r="U756" s="8"/>
      <c r="V756" s="8">
        <v>3.3790613718411553</v>
      </c>
      <c r="W756" s="8">
        <v>4.0811688311688306</v>
      </c>
      <c r="X756" s="8"/>
      <c r="Y756" s="31">
        <f t="shared" si="151"/>
        <v>-0.57172223319668258</v>
      </c>
      <c r="Z756" s="31">
        <f t="shared" si="152"/>
        <v>-0.57172223319668258</v>
      </c>
      <c r="AA756" s="31" t="str">
        <f t="shared" si="153"/>
        <v/>
      </c>
    </row>
    <row r="757" spans="1:27" x14ac:dyDescent="0.25">
      <c r="A757" s="6" t="str">
        <f t="shared" si="147"/>
        <v>fragment</v>
      </c>
      <c r="B757" s="6" t="s">
        <v>1196</v>
      </c>
      <c r="C757" s="6" t="str">
        <f t="shared" si="148"/>
        <v>HC49 430</v>
      </c>
      <c r="D757" s="22" t="s">
        <v>715</v>
      </c>
      <c r="E757" s="24">
        <v>430</v>
      </c>
      <c r="F757" s="22"/>
      <c r="G757" s="22" t="s">
        <v>1049</v>
      </c>
      <c r="H757" s="22" t="s">
        <v>977</v>
      </c>
      <c r="I757" s="6" t="s">
        <v>20</v>
      </c>
      <c r="J757" s="30"/>
      <c r="K757" s="8" t="str">
        <f t="shared" si="149"/>
        <v/>
      </c>
      <c r="L757" s="8" t="str">
        <f t="shared" si="150"/>
        <v/>
      </c>
      <c r="M757" s="23"/>
      <c r="N757" s="23"/>
      <c r="O757" s="23"/>
      <c r="P757" s="23"/>
      <c r="Q757" s="23">
        <v>0.875</v>
      </c>
      <c r="R757" s="23">
        <f>0.334+1.013+0.964+0.279</f>
        <v>2.59</v>
      </c>
      <c r="S757" s="8"/>
      <c r="T757" s="8"/>
      <c r="U757" s="8"/>
      <c r="V757" s="8"/>
      <c r="W757" s="8">
        <v>2.96</v>
      </c>
      <c r="X757" s="8"/>
      <c r="Y757" s="31">
        <f t="shared" si="151"/>
        <v>-0.47129171105893858</v>
      </c>
      <c r="Z757" s="31">
        <f t="shared" si="152"/>
        <v>-0.47129171105893858</v>
      </c>
      <c r="AA757" s="31" t="str">
        <f t="shared" si="153"/>
        <v/>
      </c>
    </row>
    <row r="758" spans="1:27" x14ac:dyDescent="0.25">
      <c r="A758" s="6" t="str">
        <f t="shared" si="147"/>
        <v>fragment</v>
      </c>
      <c r="B758" s="6" t="s">
        <v>1196</v>
      </c>
      <c r="C758" s="6" t="str">
        <f t="shared" si="148"/>
        <v>HC49 430</v>
      </c>
      <c r="D758" s="22" t="s">
        <v>715</v>
      </c>
      <c r="E758" s="24">
        <v>430</v>
      </c>
      <c r="F758" s="22"/>
      <c r="G758" s="22" t="s">
        <v>1050</v>
      </c>
      <c r="H758" s="22" t="s">
        <v>977</v>
      </c>
      <c r="I758" s="6" t="s">
        <v>20</v>
      </c>
      <c r="J758" s="30"/>
      <c r="K758" s="8" t="str">
        <f t="shared" si="149"/>
        <v/>
      </c>
      <c r="L758" s="8" t="str">
        <f t="shared" si="150"/>
        <v/>
      </c>
      <c r="M758" s="23"/>
      <c r="N758" s="23"/>
      <c r="O758" s="23">
        <v>0.8</v>
      </c>
      <c r="P758" s="23">
        <f>0.478+1.158+0.4</f>
        <v>2.036</v>
      </c>
      <c r="Q758" s="23">
        <v>0.83699999999999997</v>
      </c>
      <c r="R758" s="23">
        <f>0.359+0.826+0.809+0.202+0.26</f>
        <v>2.4560000000000004</v>
      </c>
      <c r="S758" s="8"/>
      <c r="T758" s="8"/>
      <c r="U758" s="8"/>
      <c r="V758" s="8">
        <v>2.5449999999999999</v>
      </c>
      <c r="W758" s="8">
        <v>2.9342891278375154</v>
      </c>
      <c r="X758" s="8"/>
      <c r="Y758" s="31">
        <f t="shared" si="151"/>
        <v>-0.4376942219657326</v>
      </c>
      <c r="Z758" s="31">
        <f t="shared" si="152"/>
        <v>-0.4376942219657326</v>
      </c>
      <c r="AA758" s="31" t="str">
        <f t="shared" si="153"/>
        <v/>
      </c>
    </row>
    <row r="759" spans="1:27" x14ac:dyDescent="0.25">
      <c r="A759" s="6" t="str">
        <f t="shared" si="147"/>
        <v>fragment</v>
      </c>
      <c r="B759" s="6" t="s">
        <v>1196</v>
      </c>
      <c r="C759" s="6" t="str">
        <f t="shared" si="148"/>
        <v>HC49 430</v>
      </c>
      <c r="D759" s="22" t="s">
        <v>715</v>
      </c>
      <c r="E759" s="24">
        <v>430</v>
      </c>
      <c r="F759" s="22"/>
      <c r="G759" s="22" t="s">
        <v>1051</v>
      </c>
      <c r="H759" s="22" t="s">
        <v>977</v>
      </c>
      <c r="I759" s="6" t="s">
        <v>20</v>
      </c>
      <c r="J759" s="30"/>
      <c r="K759" s="8" t="str">
        <f t="shared" si="149"/>
        <v/>
      </c>
      <c r="L759" s="8" t="str">
        <f t="shared" si="150"/>
        <v/>
      </c>
      <c r="M759" s="23"/>
      <c r="N759" s="23"/>
      <c r="O759" s="23"/>
      <c r="P759" s="23"/>
      <c r="Q759" s="23">
        <v>1.601</v>
      </c>
      <c r="R759" s="23">
        <f>0.7879+1.021+0.708</f>
        <v>2.5168999999999997</v>
      </c>
      <c r="S759" s="8"/>
      <c r="T759" s="8"/>
      <c r="U759" s="8"/>
      <c r="V759" s="8"/>
      <c r="W759" s="8">
        <v>1.5720799500312304</v>
      </c>
      <c r="X759" s="8"/>
      <c r="Y759" s="31">
        <f t="shared" si="151"/>
        <v>-0.19647462883727287</v>
      </c>
      <c r="Z759" s="31">
        <f t="shared" si="152"/>
        <v>-0.19647462883727287</v>
      </c>
      <c r="AA759" s="31" t="str">
        <f t="shared" si="153"/>
        <v/>
      </c>
    </row>
    <row r="760" spans="1:27" x14ac:dyDescent="0.25">
      <c r="A760" s="6" t="str">
        <f t="shared" si="147"/>
        <v>fragment</v>
      </c>
      <c r="B760" s="6" t="s">
        <v>1196</v>
      </c>
      <c r="C760" s="6" t="str">
        <f t="shared" si="148"/>
        <v>HC49 430</v>
      </c>
      <c r="D760" s="22" t="s">
        <v>715</v>
      </c>
      <c r="E760" s="24">
        <v>430</v>
      </c>
      <c r="F760" s="22"/>
      <c r="G760" s="22" t="s">
        <v>1052</v>
      </c>
      <c r="H760" s="22" t="s">
        <v>977</v>
      </c>
      <c r="I760" s="6" t="s">
        <v>20</v>
      </c>
      <c r="J760" s="30"/>
      <c r="K760" s="8" t="str">
        <f t="shared" si="149"/>
        <v/>
      </c>
      <c r="L760" s="8" t="str">
        <f t="shared" si="150"/>
        <v/>
      </c>
      <c r="M760" s="23"/>
      <c r="N760" s="23"/>
      <c r="O760" s="25">
        <v>0.47399999999999998</v>
      </c>
      <c r="P760" s="25">
        <f>0.387+0.717+0.513</f>
        <v>1.617</v>
      </c>
      <c r="Q760" s="23">
        <v>0.39300000000000002</v>
      </c>
      <c r="R760" s="23">
        <f>0.465+0.933+0.254</f>
        <v>1.6520000000000001</v>
      </c>
      <c r="S760" s="8"/>
      <c r="T760" s="8"/>
      <c r="U760" s="8"/>
      <c r="V760" s="8">
        <v>3.4113924050632911</v>
      </c>
      <c r="W760" s="8">
        <v>4.2035623409669212</v>
      </c>
      <c r="X760" s="8"/>
      <c r="Y760" s="31">
        <f t="shared" si="151"/>
        <v>-0.58063733110095461</v>
      </c>
      <c r="Z760" s="31">
        <f t="shared" si="152"/>
        <v>-0.58063733110095461</v>
      </c>
      <c r="AA760" s="31" t="str">
        <f t="shared" si="153"/>
        <v/>
      </c>
    </row>
    <row r="761" spans="1:27" x14ac:dyDescent="0.25">
      <c r="A761" s="6" t="str">
        <f t="shared" si="147"/>
        <v>complete</v>
      </c>
      <c r="B761" s="6" t="s">
        <v>1196</v>
      </c>
      <c r="C761" s="6" t="str">
        <f t="shared" si="148"/>
        <v>HC49 430</v>
      </c>
      <c r="D761" s="6" t="s">
        <v>715</v>
      </c>
      <c r="E761" s="20">
        <v>430</v>
      </c>
      <c r="G761" s="6" t="s">
        <v>734</v>
      </c>
      <c r="H761" s="6" t="s">
        <v>977</v>
      </c>
      <c r="I761" s="6" t="s">
        <v>20</v>
      </c>
      <c r="J761" s="29">
        <v>7.8239700000000001</v>
      </c>
      <c r="K761" s="8">
        <f t="shared" si="149"/>
        <v>0.89342717653677461</v>
      </c>
      <c r="L761" s="8">
        <f t="shared" si="150"/>
        <v>6.6623622843574282</v>
      </c>
      <c r="M761" s="8">
        <v>0.56599999999999995</v>
      </c>
      <c r="N761" s="8">
        <f>0.239+0.937+0.552</f>
        <v>1.7280000000000002</v>
      </c>
      <c r="O761" s="8"/>
      <c r="P761" s="8"/>
      <c r="Q761" s="8">
        <v>0.76600000000000001</v>
      </c>
      <c r="R761" s="8">
        <f>0.43+1.072+0.493</f>
        <v>1.9950000000000001</v>
      </c>
      <c r="S761" s="8">
        <v>0.93400000000000005</v>
      </c>
      <c r="T761" s="8">
        <f>0.712+1.378+0.421</f>
        <v>2.5109999999999997</v>
      </c>
      <c r="U761" s="8">
        <f>N761/M761</f>
        <v>3.0530035335689054</v>
      </c>
      <c r="V761" s="8"/>
      <c r="W761" s="8">
        <f>R761/Q761</f>
        <v>2.6044386422976502</v>
      </c>
      <c r="X761" s="8">
        <f>T761/S761</f>
        <v>2.6884368308351174</v>
      </c>
      <c r="Y761" s="31">
        <f t="shared" si="151"/>
        <v>-0.44435082957374822</v>
      </c>
      <c r="Z761" s="31" t="str">
        <f t="shared" si="152"/>
        <v/>
      </c>
      <c r="AA761" s="31">
        <f t="shared" si="153"/>
        <v>-0.44435082957374822</v>
      </c>
    </row>
    <row r="762" spans="1:27" x14ac:dyDescent="0.25">
      <c r="A762" s="6" t="str">
        <f t="shared" si="147"/>
        <v>complete</v>
      </c>
      <c r="B762" s="6" t="s">
        <v>1196</v>
      </c>
      <c r="C762" s="6" t="str">
        <f t="shared" si="148"/>
        <v>HC49 430</v>
      </c>
      <c r="D762" s="6" t="s">
        <v>715</v>
      </c>
      <c r="E762" s="20">
        <v>430</v>
      </c>
      <c r="G762" s="6" t="s">
        <v>738</v>
      </c>
      <c r="H762" s="6" t="s">
        <v>977</v>
      </c>
      <c r="I762" s="8" t="s">
        <v>20</v>
      </c>
      <c r="J762" s="29">
        <v>13.24188</v>
      </c>
      <c r="K762" s="8">
        <f t="shared" si="149"/>
        <v>1.1219496479182056</v>
      </c>
      <c r="L762" s="8">
        <f t="shared" si="150"/>
        <v>7.1885547203744693</v>
      </c>
      <c r="M762" s="8"/>
      <c r="N762" s="8"/>
      <c r="O762" s="8">
        <v>1.569</v>
      </c>
      <c r="P762" s="8">
        <f>0.531+1.057+0.582</f>
        <v>2.17</v>
      </c>
      <c r="Q762" s="8"/>
      <c r="R762" s="8"/>
      <c r="S762" s="8">
        <v>2.379</v>
      </c>
      <c r="T762" s="8">
        <f>0.928+1.747+0.784</f>
        <v>3.4590000000000005</v>
      </c>
      <c r="U762" s="8"/>
      <c r="V762" s="8">
        <f>P762/O762</f>
        <v>1.3830465264499681</v>
      </c>
      <c r="W762" s="8"/>
      <c r="X762" s="8">
        <f>T762/S762</f>
        <v>1.4539722572509459</v>
      </c>
      <c r="Y762" s="31">
        <f t="shared" si="151"/>
        <v>-0.15183221557446924</v>
      </c>
      <c r="Z762" s="31" t="str">
        <f t="shared" si="152"/>
        <v/>
      </c>
      <c r="AA762" s="31">
        <f t="shared" si="153"/>
        <v>-0.15183221557446924</v>
      </c>
    </row>
    <row r="763" spans="1:27" x14ac:dyDescent="0.25">
      <c r="A763" s="6" t="str">
        <f t="shared" si="147"/>
        <v>complete</v>
      </c>
      <c r="B763" s="6" t="s">
        <v>1196</v>
      </c>
      <c r="C763" s="6" t="str">
        <f t="shared" si="148"/>
        <v>HC49 430</v>
      </c>
      <c r="D763" s="6" t="s">
        <v>715</v>
      </c>
      <c r="E763" s="20">
        <v>430</v>
      </c>
      <c r="G763" s="6" t="s">
        <v>739</v>
      </c>
      <c r="H763" s="6" t="s">
        <v>977</v>
      </c>
      <c r="I763" s="8" t="s">
        <v>20</v>
      </c>
      <c r="J763" s="29">
        <v>15.123279999999999</v>
      </c>
      <c r="K763" s="8">
        <f t="shared" si="149"/>
        <v>1.1796459929783658</v>
      </c>
      <c r="L763" s="8">
        <f t="shared" si="150"/>
        <v>7.3214054644302351</v>
      </c>
      <c r="M763" s="8">
        <v>1.0229999999999999</v>
      </c>
      <c r="N763" s="8">
        <f>0.505+0.675+0.719</f>
        <v>1.899</v>
      </c>
      <c r="O763" s="8">
        <v>1.7589999999999999</v>
      </c>
      <c r="P763" s="8">
        <f>0.798+1.494+0.706</f>
        <v>2.9979999999999998</v>
      </c>
      <c r="Q763" s="8">
        <v>1.393</v>
      </c>
      <c r="R763" s="8">
        <f>0.423+0.785+0.75+0.59</f>
        <v>2.548</v>
      </c>
      <c r="S763" s="8"/>
      <c r="T763" s="8"/>
      <c r="U763" s="8">
        <f>N763/M763</f>
        <v>1.8563049853372435</v>
      </c>
      <c r="V763" s="8">
        <f>P763/O763</f>
        <v>1.7043774872086412</v>
      </c>
      <c r="W763" s="8">
        <f>R763/Q763</f>
        <v>1.829145728643216</v>
      </c>
      <c r="X763" s="8"/>
      <c r="Y763" s="31">
        <f t="shared" si="151"/>
        <v>-0.25445366770925398</v>
      </c>
      <c r="Z763" s="31" t="str">
        <f t="shared" si="152"/>
        <v/>
      </c>
      <c r="AA763" s="31">
        <f t="shared" si="153"/>
        <v>-0.25445366770925398</v>
      </c>
    </row>
    <row r="764" spans="1:27" x14ac:dyDescent="0.25">
      <c r="A764" s="6" t="str">
        <f t="shared" si="147"/>
        <v>complete</v>
      </c>
      <c r="B764" s="6" t="s">
        <v>1196</v>
      </c>
      <c r="C764" s="6" t="str">
        <f t="shared" si="148"/>
        <v>HC49 430</v>
      </c>
      <c r="D764" s="6" t="s">
        <v>715</v>
      </c>
      <c r="E764" s="20">
        <v>430</v>
      </c>
      <c r="G764" s="6" t="s">
        <v>740</v>
      </c>
      <c r="H764" s="6" t="s">
        <v>977</v>
      </c>
      <c r="I764" s="8" t="s">
        <v>20</v>
      </c>
      <c r="J764" s="29">
        <v>5.6941199999999998</v>
      </c>
      <c r="K764" s="8">
        <f t="shared" si="149"/>
        <v>0.7554266153906124</v>
      </c>
      <c r="L764" s="8">
        <f t="shared" si="150"/>
        <v>6.3446042494374622</v>
      </c>
      <c r="M764" s="8"/>
      <c r="N764" s="8"/>
      <c r="O764" s="8">
        <v>0.63100000000000001</v>
      </c>
      <c r="P764" s="8">
        <f>0.559+0.581+0.51+0.315</f>
        <v>1.9650000000000001</v>
      </c>
      <c r="Q764" s="8">
        <v>0.34100000000000003</v>
      </c>
      <c r="R764" s="8">
        <f>0.307+0.361+0.381+0.33</f>
        <v>1.379</v>
      </c>
      <c r="S764" s="8"/>
      <c r="T764" s="8"/>
      <c r="U764" s="8"/>
      <c r="V764" s="8">
        <f>P764/O764</f>
        <v>3.1141045958795566</v>
      </c>
      <c r="W764" s="8">
        <f>R764/Q764</f>
        <v>4.0439882697947214</v>
      </c>
      <c r="X764" s="8"/>
      <c r="Y764" s="31">
        <f t="shared" si="151"/>
        <v>-0.55376733275550838</v>
      </c>
      <c r="Z764" s="31" t="str">
        <f t="shared" si="152"/>
        <v/>
      </c>
      <c r="AA764" s="31">
        <f t="shared" si="153"/>
        <v>-0.55376733275550838</v>
      </c>
    </row>
    <row r="765" spans="1:27" x14ac:dyDescent="0.25">
      <c r="A765" s="6" t="str">
        <f t="shared" si="147"/>
        <v>complete</v>
      </c>
      <c r="B765" s="6" t="s">
        <v>1196</v>
      </c>
      <c r="C765" s="6" t="str">
        <f t="shared" si="148"/>
        <v>HC49 430</v>
      </c>
      <c r="D765" s="6" t="s">
        <v>715</v>
      </c>
      <c r="E765" s="20">
        <v>430</v>
      </c>
      <c r="G765" s="6" t="s">
        <v>741</v>
      </c>
      <c r="H765" s="6" t="s">
        <v>977</v>
      </c>
      <c r="I765" s="8" t="s">
        <v>20</v>
      </c>
      <c r="J765" s="29">
        <v>8.5867400000000007</v>
      </c>
      <c r="K765" s="8">
        <f t="shared" si="149"/>
        <v>0.93382831298899827</v>
      </c>
      <c r="L765" s="8">
        <f t="shared" si="150"/>
        <v>6.7553893388923365</v>
      </c>
      <c r="M765" s="8">
        <v>0.52900000000000003</v>
      </c>
      <c r="N765" s="8">
        <f>0.591+0.802</f>
        <v>1.393</v>
      </c>
      <c r="O765" s="8">
        <v>0.94299999999999995</v>
      </c>
      <c r="P765" s="8">
        <f>0.5+1.125+0.707</f>
        <v>2.3319999999999999</v>
      </c>
      <c r="Q765" s="8">
        <v>0.71</v>
      </c>
      <c r="R765" s="8">
        <f>0.554+1.638+0.544</f>
        <v>2.7360000000000002</v>
      </c>
      <c r="S765" s="8"/>
      <c r="T765" s="8"/>
      <c r="U765" s="8">
        <f>N765/M765</f>
        <v>2.6332703213610587</v>
      </c>
      <c r="V765" s="8">
        <f>P765/O765</f>
        <v>2.4729586426299046</v>
      </c>
      <c r="W765" s="8">
        <f>R765/Q765</f>
        <v>3.853521126760564</v>
      </c>
      <c r="X765" s="8"/>
      <c r="Y765" s="31">
        <f t="shared" si="151"/>
        <v>-0.47517464158071987</v>
      </c>
      <c r="Z765" s="31" t="str">
        <f t="shared" si="152"/>
        <v/>
      </c>
      <c r="AA765" s="31">
        <f t="shared" si="153"/>
        <v>-0.47517464158071987</v>
      </c>
    </row>
    <row r="766" spans="1:27" x14ac:dyDescent="0.25">
      <c r="A766" s="6" t="str">
        <f t="shared" si="147"/>
        <v>complete</v>
      </c>
      <c r="B766" s="6" t="s">
        <v>1196</v>
      </c>
      <c r="C766" s="6" t="str">
        <f t="shared" si="148"/>
        <v>HC49 430</v>
      </c>
      <c r="D766" s="6" t="s">
        <v>715</v>
      </c>
      <c r="E766" s="20">
        <v>430</v>
      </c>
      <c r="G766" s="6" t="s">
        <v>742</v>
      </c>
      <c r="H766" s="6" t="s">
        <v>977</v>
      </c>
      <c r="I766" s="8" t="s">
        <v>20</v>
      </c>
      <c r="J766" s="29">
        <v>2.6021000000000001</v>
      </c>
      <c r="K766" s="8">
        <f t="shared" si="149"/>
        <v>0.41532398269969195</v>
      </c>
      <c r="L766" s="8">
        <f t="shared" si="150"/>
        <v>5.561488997315319</v>
      </c>
      <c r="M766" s="8"/>
      <c r="N766" s="8"/>
      <c r="O766" s="8">
        <v>0.27600000000000002</v>
      </c>
      <c r="P766" s="8">
        <f>0.211+0.367+0.343+0.327</f>
        <v>1.248</v>
      </c>
      <c r="Q766" s="8"/>
      <c r="R766" s="8"/>
      <c r="S766" s="8">
        <v>0.377</v>
      </c>
      <c r="T766" s="8">
        <f>0.291+0.385+0.547+0.282</f>
        <v>1.5049999999999999</v>
      </c>
      <c r="U766" s="8"/>
      <c r="V766" s="8">
        <f>P766/O766</f>
        <v>4.5217391304347823</v>
      </c>
      <c r="W766" s="8"/>
      <c r="X766" s="8">
        <f>T766/S766</f>
        <v>3.9920424403183019</v>
      </c>
      <c r="Y766" s="31">
        <f t="shared" si="151"/>
        <v>-0.62909250807782857</v>
      </c>
      <c r="Z766" s="31" t="str">
        <f t="shared" si="152"/>
        <v/>
      </c>
      <c r="AA766" s="31">
        <f t="shared" si="153"/>
        <v>-0.62909250807782857</v>
      </c>
    </row>
    <row r="767" spans="1:27" x14ac:dyDescent="0.25">
      <c r="A767" s="6" t="str">
        <f t="shared" si="147"/>
        <v>complete</v>
      </c>
      <c r="B767" s="6" t="s">
        <v>1196</v>
      </c>
      <c r="C767" s="6" t="str">
        <f t="shared" si="148"/>
        <v>HC49 565</v>
      </c>
      <c r="D767" s="22" t="s">
        <v>715</v>
      </c>
      <c r="E767" s="22">
        <v>565</v>
      </c>
      <c r="F767" s="22"/>
      <c r="G767" s="22" t="s">
        <v>1060</v>
      </c>
      <c r="H767" s="22" t="s">
        <v>978</v>
      </c>
      <c r="I767" s="6" t="s">
        <v>20</v>
      </c>
      <c r="J767" s="30">
        <v>13.612</v>
      </c>
      <c r="K767" s="8">
        <f t="shared" si="149"/>
        <v>1.1339219404237717</v>
      </c>
      <c r="L767" s="8">
        <f t="shared" si="150"/>
        <v>7.2161219426267511</v>
      </c>
      <c r="M767" s="23"/>
      <c r="N767" s="23"/>
      <c r="O767" s="23">
        <v>1.1910000000000001</v>
      </c>
      <c r="P767" s="23">
        <f>0.236+1.132+1.011+0.541</f>
        <v>2.9199999999999995</v>
      </c>
      <c r="Q767" s="23">
        <v>1.014</v>
      </c>
      <c r="R767" s="23">
        <f>0.734+1.067+0.519</f>
        <v>2.3199999999999998</v>
      </c>
      <c r="S767" s="8"/>
      <c r="T767" s="8"/>
      <c r="U767" s="8"/>
      <c r="V767" s="8">
        <v>2.4517212426532322</v>
      </c>
      <c r="W767" s="8">
        <v>2.2879684418145954</v>
      </c>
      <c r="X767" s="8"/>
      <c r="Y767" s="31">
        <f t="shared" si="151"/>
        <v>-0.3747199129436628</v>
      </c>
      <c r="Z767" s="31" t="str">
        <f t="shared" si="152"/>
        <v/>
      </c>
      <c r="AA767" s="31">
        <f t="shared" si="153"/>
        <v>-0.3747199129436628</v>
      </c>
    </row>
    <row r="768" spans="1:27" x14ac:dyDescent="0.25">
      <c r="A768" s="6" t="str">
        <f t="shared" si="147"/>
        <v>complete</v>
      </c>
      <c r="B768" s="6" t="s">
        <v>1196</v>
      </c>
      <c r="C768" s="6" t="str">
        <f t="shared" si="148"/>
        <v>HC49 565</v>
      </c>
      <c r="D768" s="22" t="s">
        <v>715</v>
      </c>
      <c r="E768" s="22">
        <v>565</v>
      </c>
      <c r="F768" s="22"/>
      <c r="G768" s="22" t="s">
        <v>1061</v>
      </c>
      <c r="H768" s="22" t="s">
        <v>978</v>
      </c>
      <c r="I768" s="6" t="s">
        <v>20</v>
      </c>
      <c r="J768" s="30">
        <v>3.8319999999999999</v>
      </c>
      <c r="K768" s="8">
        <f t="shared" si="149"/>
        <v>0.58342550040650676</v>
      </c>
      <c r="L768" s="8">
        <f t="shared" si="150"/>
        <v>5.9485570460967052</v>
      </c>
      <c r="M768" s="23">
        <v>0.21</v>
      </c>
      <c r="N768" s="23">
        <f>0.406+0.564+0.368+0.082</f>
        <v>1.4200000000000002</v>
      </c>
      <c r="O768" s="25">
        <v>0.38</v>
      </c>
      <c r="P768" s="25">
        <f>0.384+0.506+0.886+0.418+0.38</f>
        <v>2.5739999999999998</v>
      </c>
      <c r="Q768" s="23">
        <v>0.34499999999999997</v>
      </c>
      <c r="R768" s="23">
        <f>0.216+0.588+0.634+0.61+0.108</f>
        <v>2.1560000000000001</v>
      </c>
      <c r="S768" s="8"/>
      <c r="T768" s="8"/>
      <c r="U768" s="8">
        <v>6.7619047619047628</v>
      </c>
      <c r="V768" s="8">
        <v>6.7736842105263149</v>
      </c>
      <c r="W768" s="8">
        <v>6.2492753623188415</v>
      </c>
      <c r="X768" s="8"/>
      <c r="Y768" s="31">
        <f t="shared" si="151"/>
        <v>-0.81921182192577569</v>
      </c>
      <c r="Z768" s="31" t="str">
        <f t="shared" si="152"/>
        <v/>
      </c>
      <c r="AA768" s="31">
        <f t="shared" si="153"/>
        <v>-0.81921182192577569</v>
      </c>
    </row>
    <row r="769" spans="1:27" x14ac:dyDescent="0.25">
      <c r="A769" s="6" t="str">
        <f t="shared" si="147"/>
        <v>complete</v>
      </c>
      <c r="B769" s="6" t="s">
        <v>1196</v>
      </c>
      <c r="C769" s="6" t="str">
        <f t="shared" si="148"/>
        <v>HC49 565</v>
      </c>
      <c r="D769" s="22" t="s">
        <v>715</v>
      </c>
      <c r="E769" s="22">
        <v>565</v>
      </c>
      <c r="F769" s="22"/>
      <c r="G769" s="22" t="s">
        <v>1062</v>
      </c>
      <c r="H769" s="22" t="s">
        <v>978</v>
      </c>
      <c r="I769" s="6" t="s">
        <v>20</v>
      </c>
      <c r="J769" s="30">
        <f>1.489*2</f>
        <v>2.9780000000000002</v>
      </c>
      <c r="K769" s="8">
        <f t="shared" si="149"/>
        <v>0.47392469341615739</v>
      </c>
      <c r="L769" s="8">
        <f t="shared" si="150"/>
        <v>5.6964221202499088</v>
      </c>
      <c r="M769" s="23"/>
      <c r="N769" s="23"/>
      <c r="O769" s="25">
        <v>0.29399999999999998</v>
      </c>
      <c r="P769" s="25">
        <f>0.363+0.479+0.439+0.311+0.103</f>
        <v>1.6949999999999998</v>
      </c>
      <c r="Q769" s="23">
        <v>0.35099999999999998</v>
      </c>
      <c r="R769" s="23">
        <f>0.134+0.093+0.506+0.527+0.475</f>
        <v>1.7349999999999999</v>
      </c>
      <c r="S769" s="8"/>
      <c r="T769" s="8"/>
      <c r="U769" s="8"/>
      <c r="V769" s="8">
        <v>5.7653061224489797</v>
      </c>
      <c r="W769" s="8">
        <v>4.9430199430199426</v>
      </c>
      <c r="X769" s="8"/>
      <c r="Y769" s="31">
        <f t="shared" si="151"/>
        <v>-0.72869159119513327</v>
      </c>
      <c r="Z769" s="31" t="str">
        <f t="shared" si="152"/>
        <v/>
      </c>
      <c r="AA769" s="31">
        <f t="shared" si="153"/>
        <v>-0.72869159119513327</v>
      </c>
    </row>
    <row r="770" spans="1:27" x14ac:dyDescent="0.25">
      <c r="A770" s="6" t="str">
        <f t="shared" ref="A770:A833" si="156">IF(J770&gt;0,"complete","fragment")</f>
        <v>fragment</v>
      </c>
      <c r="B770" s="6" t="s">
        <v>1196</v>
      </c>
      <c r="C770" s="6" t="str">
        <f t="shared" ref="C770:C833" si="157">D770&amp;" "&amp;E770</f>
        <v>HC49 565</v>
      </c>
      <c r="D770" s="22" t="s">
        <v>715</v>
      </c>
      <c r="E770" s="22">
        <v>565</v>
      </c>
      <c r="F770" s="22"/>
      <c r="G770" s="22" t="s">
        <v>1063</v>
      </c>
      <c r="H770" s="22" t="s">
        <v>978</v>
      </c>
      <c r="I770" s="6" t="s">
        <v>20</v>
      </c>
      <c r="J770" s="30"/>
      <c r="K770" s="8" t="str">
        <f t="shared" ref="K770:K833" si="158">IF(J770&gt;0,LOG(J770),"")</f>
        <v/>
      </c>
      <c r="L770" s="8" t="str">
        <f t="shared" ref="L770:L833" si="159">IF(J770&gt;0,LN(J770*100),"")</f>
        <v/>
      </c>
      <c r="M770" s="23">
        <v>0.82499999999999996</v>
      </c>
      <c r="N770" s="23">
        <f>0.716+0.832+0.334</f>
        <v>1.8820000000000001</v>
      </c>
      <c r="O770" s="25">
        <v>1.0309999999999999</v>
      </c>
      <c r="P770" s="25">
        <f>0.974+0.686+0.958+0.208</f>
        <v>2.8260000000000005</v>
      </c>
      <c r="Q770" s="23">
        <v>1.1020000000000001</v>
      </c>
      <c r="R770" s="23">
        <f>0.505+1.225+0.713+0.222</f>
        <v>2.665</v>
      </c>
      <c r="S770" s="8"/>
      <c r="T770" s="8"/>
      <c r="U770" s="8">
        <v>2.2812121212121217</v>
      </c>
      <c r="V770" s="8">
        <v>2.7410281280310387</v>
      </c>
      <c r="W770" s="8">
        <v>2.4183303085299452</v>
      </c>
      <c r="X770" s="8"/>
      <c r="Y770" s="31">
        <f t="shared" ref="Y770:Y833" si="160">IF(COUNT(U770:X770)&gt;0,LOG(1/AVERAGE(U770:X770)),"")</f>
        <v>-0.3944849846691873</v>
      </c>
      <c r="Z770" s="31">
        <f t="shared" ref="Z770:Z833" si="161">IF(A770="fragment",IF(ISNUMBER(Y770)=TRUE,Y770,""),"")</f>
        <v>-0.3944849846691873</v>
      </c>
      <c r="AA770" s="31" t="str">
        <f t="shared" ref="AA770:AA833" si="162">IF(A770="complete",IF(ISNUMBER(Y770)=TRUE,Y770,""),"")</f>
        <v/>
      </c>
    </row>
    <row r="771" spans="1:27" x14ac:dyDescent="0.25">
      <c r="A771" s="6" t="str">
        <f t="shared" si="156"/>
        <v>fragment</v>
      </c>
      <c r="B771" s="6" t="s">
        <v>1196</v>
      </c>
      <c r="C771" s="6" t="str">
        <f t="shared" si="157"/>
        <v>HC49 565</v>
      </c>
      <c r="D771" s="22" t="s">
        <v>715</v>
      </c>
      <c r="E771" s="22">
        <v>565</v>
      </c>
      <c r="F771" s="22"/>
      <c r="G771" s="22" t="s">
        <v>1064</v>
      </c>
      <c r="H771" s="22" t="s">
        <v>978</v>
      </c>
      <c r="I771" s="6" t="s">
        <v>20</v>
      </c>
      <c r="J771" s="30"/>
      <c r="K771" s="8" t="str">
        <f t="shared" si="158"/>
        <v/>
      </c>
      <c r="L771" s="8" t="str">
        <f t="shared" si="159"/>
        <v/>
      </c>
      <c r="M771" s="23"/>
      <c r="N771" s="23"/>
      <c r="O771" s="25">
        <v>1.57</v>
      </c>
      <c r="P771" s="25">
        <f>1.127+0.292+1.126+0.678</f>
        <v>3.2229999999999999</v>
      </c>
      <c r="Q771" s="23">
        <v>2.5390000000000001</v>
      </c>
      <c r="R771" s="23">
        <f>1.309+1.451+1.454+0.074+0.754</f>
        <v>5.0419999999999998</v>
      </c>
      <c r="S771" s="8"/>
      <c r="T771" s="8"/>
      <c r="U771" s="8"/>
      <c r="V771" s="8">
        <v>2.0528662420382164</v>
      </c>
      <c r="W771" s="8">
        <v>1.9858211894446631</v>
      </c>
      <c r="X771" s="8"/>
      <c r="Y771" s="31">
        <f t="shared" si="160"/>
        <v>-0.30521024719775447</v>
      </c>
      <c r="Z771" s="31">
        <f t="shared" si="161"/>
        <v>-0.30521024719775447</v>
      </c>
      <c r="AA771" s="31" t="str">
        <f t="shared" si="162"/>
        <v/>
      </c>
    </row>
    <row r="772" spans="1:27" x14ac:dyDescent="0.25">
      <c r="A772" s="6" t="str">
        <f t="shared" si="156"/>
        <v>complete</v>
      </c>
      <c r="B772" s="6" t="s">
        <v>1196</v>
      </c>
      <c r="C772" s="6" t="str">
        <f t="shared" si="157"/>
        <v>HC49 565</v>
      </c>
      <c r="D772" s="22" t="s">
        <v>715</v>
      </c>
      <c r="E772" s="22">
        <v>565</v>
      </c>
      <c r="F772" s="22"/>
      <c r="G772" s="22" t="s">
        <v>1065</v>
      </c>
      <c r="H772" s="22" t="s">
        <v>978</v>
      </c>
      <c r="I772" s="6" t="s">
        <v>20</v>
      </c>
      <c r="J772" s="30">
        <v>10.353999999999999</v>
      </c>
      <c r="K772" s="8">
        <f t="shared" si="158"/>
        <v>1.0151081606458372</v>
      </c>
      <c r="L772" s="8">
        <f t="shared" si="159"/>
        <v>6.9425431044678012</v>
      </c>
      <c r="M772" s="23"/>
      <c r="N772" s="23"/>
      <c r="O772" s="25">
        <v>0.72399999999999998</v>
      </c>
      <c r="P772" s="25">
        <f>0.74+0.864</f>
        <v>1.6040000000000001</v>
      </c>
      <c r="Q772" s="23">
        <v>0.92900000000000005</v>
      </c>
      <c r="R772" s="23">
        <f>0.509+1.287+0.352</f>
        <v>2.1479999999999997</v>
      </c>
      <c r="S772" s="8"/>
      <c r="T772" s="8"/>
      <c r="U772" s="8"/>
      <c r="V772" s="8">
        <v>2.2154696132596685</v>
      </c>
      <c r="W772" s="8">
        <v>2.3121636167922492</v>
      </c>
      <c r="X772" s="8"/>
      <c r="Y772" s="31">
        <f t="shared" si="160"/>
        <v>-0.35484124305155795</v>
      </c>
      <c r="Z772" s="31" t="str">
        <f t="shared" si="161"/>
        <v/>
      </c>
      <c r="AA772" s="31">
        <f t="shared" si="162"/>
        <v>-0.35484124305155795</v>
      </c>
    </row>
    <row r="773" spans="1:27" x14ac:dyDescent="0.25">
      <c r="A773" s="6" t="str">
        <f t="shared" si="156"/>
        <v>complete</v>
      </c>
      <c r="B773" s="6" t="s">
        <v>1196</v>
      </c>
      <c r="C773" s="6" t="str">
        <f t="shared" si="157"/>
        <v>HC49 565</v>
      </c>
      <c r="D773" s="22" t="s">
        <v>715</v>
      </c>
      <c r="E773" s="22">
        <v>565</v>
      </c>
      <c r="F773" s="22"/>
      <c r="G773" s="22" t="s">
        <v>1066</v>
      </c>
      <c r="H773" s="22" t="s">
        <v>978</v>
      </c>
      <c r="I773" s="6" t="s">
        <v>20</v>
      </c>
      <c r="J773" s="30">
        <v>17.663</v>
      </c>
      <c r="K773" s="8">
        <f t="shared" si="158"/>
        <v>1.2470644689354513</v>
      </c>
      <c r="L773" s="8">
        <f t="shared" si="159"/>
        <v>7.4766422421613976</v>
      </c>
      <c r="M773" s="23">
        <v>1.4419999999999999</v>
      </c>
      <c r="N773" s="23">
        <f>0.796+1.394+0.59</f>
        <v>2.78</v>
      </c>
      <c r="O773" s="25">
        <v>1.2190000000000001</v>
      </c>
      <c r="P773" s="25">
        <f>0.594+1.109</f>
        <v>1.7029999999999998</v>
      </c>
      <c r="Q773" s="23">
        <v>1.548</v>
      </c>
      <c r="R773" s="23">
        <f>0.669+1.084+1.105</f>
        <v>2.8580000000000001</v>
      </c>
      <c r="S773" s="8"/>
      <c r="T773" s="8"/>
      <c r="U773" s="8">
        <v>1.9278779472954231</v>
      </c>
      <c r="V773" s="8">
        <v>1.3970467596390481</v>
      </c>
      <c r="W773" s="8">
        <v>1.8462532299741603</v>
      </c>
      <c r="X773" s="8"/>
      <c r="Y773" s="31">
        <f t="shared" si="160"/>
        <v>-0.2364682271034621</v>
      </c>
      <c r="Z773" s="31" t="str">
        <f t="shared" si="161"/>
        <v/>
      </c>
      <c r="AA773" s="31">
        <f t="shared" si="162"/>
        <v>-0.2364682271034621</v>
      </c>
    </row>
    <row r="774" spans="1:27" x14ac:dyDescent="0.25">
      <c r="A774" s="6" t="str">
        <f t="shared" si="156"/>
        <v>fragment</v>
      </c>
      <c r="B774" s="6" t="s">
        <v>1196</v>
      </c>
      <c r="C774" s="6" t="str">
        <f t="shared" si="157"/>
        <v>HC49 565</v>
      </c>
      <c r="D774" s="22" t="s">
        <v>715</v>
      </c>
      <c r="E774" s="22">
        <v>565</v>
      </c>
      <c r="F774" s="22"/>
      <c r="G774" s="22" t="s">
        <v>1067</v>
      </c>
      <c r="H774" s="22" t="s">
        <v>978</v>
      </c>
      <c r="I774" s="6" t="s">
        <v>20</v>
      </c>
      <c r="J774" s="30"/>
      <c r="K774" s="8" t="str">
        <f t="shared" si="158"/>
        <v/>
      </c>
      <c r="L774" s="8" t="str">
        <f t="shared" si="159"/>
        <v/>
      </c>
      <c r="M774" s="23">
        <v>0.84499999999999997</v>
      </c>
      <c r="N774" s="23">
        <f>1.193+0.915+0.32</f>
        <v>2.4279999999999999</v>
      </c>
      <c r="O774" s="25">
        <v>0.629</v>
      </c>
      <c r="P774" s="25">
        <f>0.686+0.439+0.701</f>
        <v>1.8260000000000001</v>
      </c>
      <c r="Q774" s="23">
        <v>0.65900000000000003</v>
      </c>
      <c r="R774" s="23">
        <f>0.518+0.701+0.512</f>
        <v>1.7309999999999999</v>
      </c>
      <c r="S774" s="8"/>
      <c r="T774" s="8"/>
      <c r="U774" s="8">
        <v>2.8733727810650889</v>
      </c>
      <c r="V774" s="8">
        <v>2.9030206677265502</v>
      </c>
      <c r="W774" s="8">
        <v>2.6267071320182089</v>
      </c>
      <c r="X774" s="8"/>
      <c r="Y774" s="31">
        <f t="shared" si="160"/>
        <v>-0.44731830713717974</v>
      </c>
      <c r="Z774" s="31">
        <f t="shared" si="161"/>
        <v>-0.44731830713717974</v>
      </c>
      <c r="AA774" s="31" t="str">
        <f t="shared" si="162"/>
        <v/>
      </c>
    </row>
    <row r="775" spans="1:27" x14ac:dyDescent="0.25">
      <c r="A775" s="6" t="str">
        <f t="shared" si="156"/>
        <v>complete</v>
      </c>
      <c r="B775" s="6" t="s">
        <v>1196</v>
      </c>
      <c r="C775" s="6" t="str">
        <f t="shared" si="157"/>
        <v>HC49 565</v>
      </c>
      <c r="D775" s="22" t="s">
        <v>715</v>
      </c>
      <c r="E775" s="22">
        <v>565</v>
      </c>
      <c r="F775" s="22"/>
      <c r="G775" s="22" t="s">
        <v>1068</v>
      </c>
      <c r="H775" s="22" t="s">
        <v>978</v>
      </c>
      <c r="I775" s="6" t="s">
        <v>20</v>
      </c>
      <c r="J775" s="30">
        <f>4.85*2</f>
        <v>9.6999999999999993</v>
      </c>
      <c r="K775" s="8">
        <f t="shared" si="158"/>
        <v>0.98677173426624487</v>
      </c>
      <c r="L775" s="8">
        <f t="shared" si="159"/>
        <v>6.8772960714974287</v>
      </c>
      <c r="M775" s="23"/>
      <c r="N775" s="23"/>
      <c r="O775" s="25">
        <v>0.63500000000000001</v>
      </c>
      <c r="P775" s="25">
        <f>0.347+0.461+1.254+0.594</f>
        <v>2.6560000000000001</v>
      </c>
      <c r="Q775" s="23">
        <v>0.73799999999999999</v>
      </c>
      <c r="R775" s="23">
        <f>0.196+0.641+0.865+0.442+0.894+0.24</f>
        <v>3.2780000000000005</v>
      </c>
      <c r="S775" s="8"/>
      <c r="T775" s="8"/>
      <c r="U775" s="8"/>
      <c r="V775" s="8">
        <v>4.1826771653543311</v>
      </c>
      <c r="W775" s="8">
        <v>4.4417344173441737</v>
      </c>
      <c r="X775" s="8"/>
      <c r="Y775" s="31">
        <f t="shared" si="160"/>
        <v>-0.63469947850400033</v>
      </c>
      <c r="Z775" s="31" t="str">
        <f t="shared" si="161"/>
        <v/>
      </c>
      <c r="AA775" s="31">
        <f t="shared" si="162"/>
        <v>-0.63469947850400033</v>
      </c>
    </row>
    <row r="776" spans="1:27" x14ac:dyDescent="0.25">
      <c r="A776" s="6" t="str">
        <f t="shared" si="156"/>
        <v>complete</v>
      </c>
      <c r="B776" s="6" t="s">
        <v>1196</v>
      </c>
      <c r="C776" s="6" t="str">
        <f t="shared" si="157"/>
        <v>HC49 565</v>
      </c>
      <c r="D776" s="22" t="s">
        <v>715</v>
      </c>
      <c r="E776" s="22">
        <v>565</v>
      </c>
      <c r="F776" s="22"/>
      <c r="G776" s="22" t="s">
        <v>1069</v>
      </c>
      <c r="H776" s="22" t="s">
        <v>978</v>
      </c>
      <c r="I776" s="6" t="s">
        <v>20</v>
      </c>
      <c r="J776" s="30">
        <f>10.48*2</f>
        <v>20.96</v>
      </c>
      <c r="K776" s="8">
        <f t="shared" si="158"/>
        <v>1.321391278311689</v>
      </c>
      <c r="L776" s="8">
        <f t="shared" si="159"/>
        <v>7.6477860454409328</v>
      </c>
      <c r="M776" s="23"/>
      <c r="N776" s="23"/>
      <c r="O776" s="25">
        <v>1.4019999999999999</v>
      </c>
      <c r="P776" s="25">
        <f>0.697+1.32+0.606</f>
        <v>2.6229999999999998</v>
      </c>
      <c r="Q776" s="23">
        <v>1.296</v>
      </c>
      <c r="R776" s="23">
        <f>0.571+0.567+0.849+0.669</f>
        <v>2.6559999999999997</v>
      </c>
      <c r="S776" s="8"/>
      <c r="T776" s="8"/>
      <c r="U776" s="8"/>
      <c r="V776" s="8">
        <v>1.8708987161198287</v>
      </c>
      <c r="W776" s="8">
        <v>2.0493827160493825</v>
      </c>
      <c r="X776" s="8"/>
      <c r="Y776" s="31">
        <f t="shared" si="160"/>
        <v>-0.29228724994087468</v>
      </c>
      <c r="Z776" s="31" t="str">
        <f t="shared" si="161"/>
        <v/>
      </c>
      <c r="AA776" s="31">
        <f t="shared" si="162"/>
        <v>-0.29228724994087468</v>
      </c>
    </row>
    <row r="777" spans="1:27" x14ac:dyDescent="0.25">
      <c r="A777" s="6" t="str">
        <f t="shared" si="156"/>
        <v>complete</v>
      </c>
      <c r="B777" s="6" t="s">
        <v>1196</v>
      </c>
      <c r="C777" s="6" t="str">
        <f t="shared" si="157"/>
        <v>HC49 565</v>
      </c>
      <c r="D777" s="22" t="s">
        <v>715</v>
      </c>
      <c r="E777" s="22">
        <v>565</v>
      </c>
      <c r="F777" s="22"/>
      <c r="G777" s="22" t="s">
        <v>1070</v>
      </c>
      <c r="H777" s="22" t="s">
        <v>978</v>
      </c>
      <c r="I777" s="6" t="s">
        <v>20</v>
      </c>
      <c r="J777" s="30">
        <v>2.4449999999999998</v>
      </c>
      <c r="K777" s="8">
        <f t="shared" si="158"/>
        <v>0.38827886345963902</v>
      </c>
      <c r="L777" s="8">
        <f t="shared" si="159"/>
        <v>5.4992153089149269</v>
      </c>
      <c r="M777" s="23">
        <v>0.19800000000000001</v>
      </c>
      <c r="N777" s="23">
        <f>0.321+0.074+0.325+0.227</f>
        <v>0.94699999999999995</v>
      </c>
      <c r="O777" s="25">
        <v>0.27500000000000002</v>
      </c>
      <c r="P777" s="25">
        <f>0.561+0.335+0.171</f>
        <v>1.0670000000000002</v>
      </c>
      <c r="Q777" s="23">
        <v>0.224</v>
      </c>
      <c r="R777" s="23">
        <f>0.221+0.402</f>
        <v>0.623</v>
      </c>
      <c r="S777" s="8"/>
      <c r="T777" s="8"/>
      <c r="U777" s="8">
        <v>4.782828282828282</v>
      </c>
      <c r="V777" s="8">
        <v>3.8800000000000003</v>
      </c>
      <c r="W777" s="8">
        <v>2.78125</v>
      </c>
      <c r="X777" s="8"/>
      <c r="Y777" s="31">
        <f t="shared" si="160"/>
        <v>-0.58145956520035658</v>
      </c>
      <c r="Z777" s="31" t="str">
        <f t="shared" si="161"/>
        <v/>
      </c>
      <c r="AA777" s="31">
        <f t="shared" si="162"/>
        <v>-0.58145956520035658</v>
      </c>
    </row>
    <row r="778" spans="1:27" x14ac:dyDescent="0.25">
      <c r="A778" s="6" t="str">
        <f t="shared" si="156"/>
        <v>fragment</v>
      </c>
      <c r="B778" s="6" t="s">
        <v>1196</v>
      </c>
      <c r="C778" s="6" t="str">
        <f t="shared" si="157"/>
        <v>HC49 565</v>
      </c>
      <c r="D778" s="22" t="s">
        <v>715</v>
      </c>
      <c r="E778" s="22">
        <v>565</v>
      </c>
      <c r="F778" s="22"/>
      <c r="G778" s="22" t="s">
        <v>1071</v>
      </c>
      <c r="H778" s="22" t="s">
        <v>978</v>
      </c>
      <c r="I778" s="6" t="s">
        <v>20</v>
      </c>
      <c r="J778" s="30"/>
      <c r="K778" s="8" t="str">
        <f t="shared" si="158"/>
        <v/>
      </c>
      <c r="L778" s="8" t="str">
        <f t="shared" si="159"/>
        <v/>
      </c>
      <c r="M778" s="23"/>
      <c r="N778" s="23"/>
      <c r="O778" s="25">
        <v>2.1030000000000002</v>
      </c>
      <c r="P778" s="25">
        <f>0.932+0.622+1.362+1.041</f>
        <v>3.9570000000000003</v>
      </c>
      <c r="Q778" s="23">
        <v>1.4</v>
      </c>
      <c r="R778" s="23">
        <f>0.305+1.17+0.641</f>
        <v>2.1159999999999997</v>
      </c>
      <c r="S778" s="8"/>
      <c r="T778" s="8"/>
      <c r="U778" s="8"/>
      <c r="V778" s="8">
        <v>1.8815977175463623</v>
      </c>
      <c r="W778" s="8">
        <v>1.5114285714285713</v>
      </c>
      <c r="X778" s="8"/>
      <c r="Y778" s="31">
        <f t="shared" si="160"/>
        <v>-0.2295572288831462</v>
      </c>
      <c r="Z778" s="31">
        <f t="shared" si="161"/>
        <v>-0.2295572288831462</v>
      </c>
      <c r="AA778" s="31" t="str">
        <f t="shared" si="162"/>
        <v/>
      </c>
    </row>
    <row r="779" spans="1:27" x14ac:dyDescent="0.25">
      <c r="A779" s="6" t="str">
        <f t="shared" si="156"/>
        <v>fragment</v>
      </c>
      <c r="B779" s="6" t="s">
        <v>1196</v>
      </c>
      <c r="C779" s="6" t="str">
        <f t="shared" si="157"/>
        <v>HC49 565</v>
      </c>
      <c r="D779" s="22" t="s">
        <v>715</v>
      </c>
      <c r="E779" s="22">
        <v>565</v>
      </c>
      <c r="F779" s="22"/>
      <c r="G779" s="22" t="s">
        <v>1072</v>
      </c>
      <c r="H779" s="22" t="s">
        <v>978</v>
      </c>
      <c r="I779" s="6" t="s">
        <v>20</v>
      </c>
      <c r="J779" s="30"/>
      <c r="K779" s="8" t="str">
        <f t="shared" si="158"/>
        <v/>
      </c>
      <c r="L779" s="8" t="str">
        <f t="shared" si="159"/>
        <v/>
      </c>
      <c r="M779" s="23"/>
      <c r="N779" s="23"/>
      <c r="O779" s="25"/>
      <c r="P779" s="25"/>
      <c r="Q779" s="23">
        <v>1.056</v>
      </c>
      <c r="R779" s="23">
        <f>0.554+1.371+0.52</f>
        <v>2.4450000000000003</v>
      </c>
      <c r="S779" s="8"/>
      <c r="T779" s="8"/>
      <c r="U779" s="8"/>
      <c r="V779" s="8"/>
      <c r="W779" s="8">
        <v>2.3153409090909092</v>
      </c>
      <c r="X779" s="8"/>
      <c r="Y779" s="31">
        <f t="shared" si="160"/>
        <v>-0.36461494526184557</v>
      </c>
      <c r="Z779" s="31">
        <f t="shared" si="161"/>
        <v>-0.36461494526184557</v>
      </c>
      <c r="AA779" s="31" t="str">
        <f t="shared" si="162"/>
        <v/>
      </c>
    </row>
    <row r="780" spans="1:27" x14ac:dyDescent="0.25">
      <c r="A780" s="6" t="str">
        <f t="shared" si="156"/>
        <v>complete</v>
      </c>
      <c r="B780" s="6" t="s">
        <v>1196</v>
      </c>
      <c r="C780" s="6" t="str">
        <f t="shared" si="157"/>
        <v>HC49 565</v>
      </c>
      <c r="D780" s="22" t="s">
        <v>715</v>
      </c>
      <c r="E780" s="22">
        <v>565</v>
      </c>
      <c r="F780" s="22"/>
      <c r="G780" s="22" t="s">
        <v>1073</v>
      </c>
      <c r="H780" s="22" t="s">
        <v>978</v>
      </c>
      <c r="I780" s="6" t="s">
        <v>20</v>
      </c>
      <c r="J780" s="30">
        <v>13.68</v>
      </c>
      <c r="K780" s="8">
        <f t="shared" si="158"/>
        <v>1.1360860973840974</v>
      </c>
      <c r="L780" s="8">
        <f t="shared" si="159"/>
        <v>7.2211050981824956</v>
      </c>
      <c r="M780" s="23"/>
      <c r="N780" s="23"/>
      <c r="O780" s="25">
        <v>1.3480000000000001</v>
      </c>
      <c r="P780" s="25">
        <f>0.655+1.109+0.976</f>
        <v>2.74</v>
      </c>
      <c r="Q780" s="23">
        <v>1.0289999999999999</v>
      </c>
      <c r="R780" s="23">
        <f>0.697+0.939+0.863</f>
        <v>2.4989999999999997</v>
      </c>
      <c r="S780" s="8"/>
      <c r="T780" s="8"/>
      <c r="U780" s="8"/>
      <c r="V780" s="8">
        <v>2.0326409495548963</v>
      </c>
      <c r="W780" s="8">
        <v>2.4285714285714284</v>
      </c>
      <c r="X780" s="8"/>
      <c r="Y780" s="31">
        <f t="shared" si="160"/>
        <v>-0.34842290286408872</v>
      </c>
      <c r="Z780" s="31" t="str">
        <f t="shared" si="161"/>
        <v/>
      </c>
      <c r="AA780" s="31">
        <f t="shared" si="162"/>
        <v>-0.34842290286408872</v>
      </c>
    </row>
    <row r="781" spans="1:27" x14ac:dyDescent="0.25">
      <c r="A781" s="6" t="str">
        <f t="shared" si="156"/>
        <v>complete</v>
      </c>
      <c r="B781" s="6" t="s">
        <v>1196</v>
      </c>
      <c r="C781" s="6" t="str">
        <f t="shared" si="157"/>
        <v>HC49 565</v>
      </c>
      <c r="D781" s="22" t="s">
        <v>715</v>
      </c>
      <c r="E781" s="22">
        <v>565</v>
      </c>
      <c r="F781" s="22"/>
      <c r="G781" s="22" t="s">
        <v>1074</v>
      </c>
      <c r="H781" s="22" t="s">
        <v>978</v>
      </c>
      <c r="I781" s="6" t="s">
        <v>20</v>
      </c>
      <c r="J781" s="30">
        <v>3.859</v>
      </c>
      <c r="K781" s="8">
        <f t="shared" si="158"/>
        <v>0.58647477857139663</v>
      </c>
      <c r="L781" s="8">
        <f t="shared" si="159"/>
        <v>5.9555782685435732</v>
      </c>
      <c r="M781" s="23">
        <v>0.30499999999999999</v>
      </c>
      <c r="N781" s="23">
        <f>0.176+0.562+0.294</f>
        <v>1.032</v>
      </c>
      <c r="O781" s="25">
        <v>0.38600000000000001</v>
      </c>
      <c r="P781" s="25">
        <f>0.4+0.645+0.29</f>
        <v>1.335</v>
      </c>
      <c r="Q781" s="23">
        <v>0.35199999999999998</v>
      </c>
      <c r="R781" s="23">
        <f>0.305+0.515+0.576</f>
        <v>1.3959999999999999</v>
      </c>
      <c r="S781" s="8"/>
      <c r="T781" s="8"/>
      <c r="U781" s="8">
        <v>3.3836065573770493</v>
      </c>
      <c r="V781" s="8">
        <v>3.4585492227979273</v>
      </c>
      <c r="W781" s="8">
        <v>3.9659090909090908</v>
      </c>
      <c r="X781" s="8"/>
      <c r="Y781" s="31">
        <f t="shared" si="160"/>
        <v>-0.55662668798096016</v>
      </c>
      <c r="Z781" s="31" t="str">
        <f t="shared" si="161"/>
        <v/>
      </c>
      <c r="AA781" s="31">
        <f t="shared" si="162"/>
        <v>-0.55662668798096016</v>
      </c>
    </row>
    <row r="782" spans="1:27" x14ac:dyDescent="0.25">
      <c r="A782" s="6" t="str">
        <f t="shared" si="156"/>
        <v>fragment</v>
      </c>
      <c r="B782" s="6" t="s">
        <v>1196</v>
      </c>
      <c r="C782" s="6" t="str">
        <f t="shared" si="157"/>
        <v>HC49 565</v>
      </c>
      <c r="D782" s="22" t="s">
        <v>715</v>
      </c>
      <c r="E782" s="22">
        <v>565</v>
      </c>
      <c r="F782" s="22"/>
      <c r="G782" s="22" t="s">
        <v>1075</v>
      </c>
      <c r="H782" s="22" t="s">
        <v>978</v>
      </c>
      <c r="I782" s="6" t="s">
        <v>20</v>
      </c>
      <c r="J782" s="30"/>
      <c r="K782" s="8" t="str">
        <f t="shared" si="158"/>
        <v/>
      </c>
      <c r="L782" s="8" t="str">
        <f t="shared" si="159"/>
        <v/>
      </c>
      <c r="M782" s="23"/>
      <c r="N782" s="23"/>
      <c r="O782" s="25">
        <v>0.57899999999999996</v>
      </c>
      <c r="P782" s="25">
        <f>0.092+0.708+0.72+0.164+0.255</f>
        <v>1.9390000000000001</v>
      </c>
      <c r="Q782" s="23">
        <v>0.81299999999999994</v>
      </c>
      <c r="R782" s="23">
        <f>0.282+0.833+0.845+0.395</f>
        <v>2.355</v>
      </c>
      <c r="S782" s="8"/>
      <c r="T782" s="8"/>
      <c r="U782" s="8"/>
      <c r="V782" s="8">
        <v>3.3488773747841107</v>
      </c>
      <c r="W782" s="8">
        <v>2.896678966789668</v>
      </c>
      <c r="X782" s="8"/>
      <c r="Y782" s="31">
        <f t="shared" si="160"/>
        <v>-0.49454113484663575</v>
      </c>
      <c r="Z782" s="31">
        <f t="shared" si="161"/>
        <v>-0.49454113484663575</v>
      </c>
      <c r="AA782" s="31" t="str">
        <f t="shared" si="162"/>
        <v/>
      </c>
    </row>
    <row r="783" spans="1:27" x14ac:dyDescent="0.25">
      <c r="A783" s="6" t="str">
        <f t="shared" si="156"/>
        <v>complete</v>
      </c>
      <c r="B783" s="6" t="s">
        <v>1196</v>
      </c>
      <c r="C783" s="6" t="str">
        <f t="shared" si="157"/>
        <v>HC49 565</v>
      </c>
      <c r="D783" s="22" t="s">
        <v>715</v>
      </c>
      <c r="E783" s="22">
        <v>565</v>
      </c>
      <c r="F783" s="22"/>
      <c r="G783" s="22" t="s">
        <v>1076</v>
      </c>
      <c r="H783" s="22" t="s">
        <v>978</v>
      </c>
      <c r="I783" s="6" t="s">
        <v>20</v>
      </c>
      <c r="J783" s="30">
        <v>22.321999999999999</v>
      </c>
      <c r="K783" s="8">
        <f t="shared" si="158"/>
        <v>1.3487331037982855</v>
      </c>
      <c r="L783" s="8">
        <f t="shared" si="159"/>
        <v>7.7107429252216146</v>
      </c>
      <c r="M783" s="23">
        <v>1.345</v>
      </c>
      <c r="N783" s="23">
        <f>0.787+1.208+0.184+0.652</f>
        <v>2.8310000000000004</v>
      </c>
      <c r="O783" s="25">
        <v>1.907</v>
      </c>
      <c r="P783" s="25">
        <f>1.112+0.947+1.333+0.308+0.269</f>
        <v>3.9690000000000003</v>
      </c>
      <c r="Q783" s="23">
        <v>1.2789999999999999</v>
      </c>
      <c r="R783" s="23">
        <f>0.238+0.488+1.151+0.735</f>
        <v>2.6120000000000001</v>
      </c>
      <c r="S783" s="8"/>
      <c r="T783" s="8"/>
      <c r="U783" s="8">
        <v>2.104832713754647</v>
      </c>
      <c r="V783" s="8">
        <v>2.0812794965915051</v>
      </c>
      <c r="W783" s="8">
        <v>2.042220484753714</v>
      </c>
      <c r="X783" s="8"/>
      <c r="Y783" s="31">
        <f t="shared" si="160"/>
        <v>-0.31725054824304755</v>
      </c>
      <c r="Z783" s="31" t="str">
        <f t="shared" si="161"/>
        <v/>
      </c>
      <c r="AA783" s="31">
        <f t="shared" si="162"/>
        <v>-0.31725054824304755</v>
      </c>
    </row>
    <row r="784" spans="1:27" x14ac:dyDescent="0.25">
      <c r="A784" s="6" t="str">
        <f t="shared" si="156"/>
        <v>complete</v>
      </c>
      <c r="B784" s="6" t="s">
        <v>1196</v>
      </c>
      <c r="C784" s="6" t="str">
        <f t="shared" si="157"/>
        <v>HC49 565</v>
      </c>
      <c r="D784" s="22" t="s">
        <v>715</v>
      </c>
      <c r="E784" s="22">
        <v>565</v>
      </c>
      <c r="F784" s="22"/>
      <c r="G784" s="22" t="s">
        <v>747</v>
      </c>
      <c r="H784" s="22" t="s">
        <v>978</v>
      </c>
      <c r="I784" s="6" t="s">
        <v>20</v>
      </c>
      <c r="J784" s="30">
        <f>8.953*2</f>
        <v>17.905999999999999</v>
      </c>
      <c r="K784" s="8">
        <f t="shared" si="158"/>
        <v>1.2529985801568919</v>
      </c>
      <c r="L784" s="8">
        <f t="shared" si="159"/>
        <v>7.4903060382000559</v>
      </c>
      <c r="M784" s="23"/>
      <c r="N784" s="23"/>
      <c r="O784" s="25">
        <v>1.397</v>
      </c>
      <c r="P784" s="25">
        <f>0.487+1.153+1.452+0.13+0.379+0.321</f>
        <v>3.9220000000000002</v>
      </c>
      <c r="Q784" s="23">
        <v>1.3979999999999999</v>
      </c>
      <c r="R784" s="23">
        <f>0.839+0.87+0.873+0.232</f>
        <v>2.8140000000000001</v>
      </c>
      <c r="S784" s="8"/>
      <c r="T784" s="8"/>
      <c r="U784" s="8"/>
      <c r="V784" s="8">
        <v>2.807444523979957</v>
      </c>
      <c r="W784" s="8">
        <v>2.0128755364806867</v>
      </c>
      <c r="X784" s="8"/>
      <c r="Y784" s="31">
        <f t="shared" si="160"/>
        <v>-0.38204587989377731</v>
      </c>
      <c r="Z784" s="31" t="str">
        <f t="shared" si="161"/>
        <v/>
      </c>
      <c r="AA784" s="31">
        <f t="shared" si="162"/>
        <v>-0.38204587989377731</v>
      </c>
    </row>
    <row r="785" spans="1:27" x14ac:dyDescent="0.25">
      <c r="A785" s="6" t="str">
        <f t="shared" si="156"/>
        <v>complete</v>
      </c>
      <c r="B785" s="6" t="s">
        <v>1196</v>
      </c>
      <c r="C785" s="6" t="str">
        <f t="shared" si="157"/>
        <v>HC49 565</v>
      </c>
      <c r="D785" s="6" t="s">
        <v>715</v>
      </c>
      <c r="E785" s="20">
        <v>565</v>
      </c>
      <c r="G785" s="6" t="s">
        <v>735</v>
      </c>
      <c r="H785" s="6" t="s">
        <v>978</v>
      </c>
      <c r="I785" s="6" t="s">
        <v>20</v>
      </c>
      <c r="J785" s="29">
        <v>20.43019</v>
      </c>
      <c r="K785" s="8">
        <f t="shared" si="158"/>
        <v>1.3102724055736059</v>
      </c>
      <c r="L785" s="8">
        <f t="shared" si="159"/>
        <v>7.6221838948233245</v>
      </c>
      <c r="M785" s="8">
        <v>1.4259999999999999</v>
      </c>
      <c r="N785" s="8">
        <f>0.541+1.044+0.655</f>
        <v>2.2400000000000002</v>
      </c>
      <c r="O785" s="8">
        <v>2.4209999999999998</v>
      </c>
      <c r="P785" s="8">
        <f>0.94+1.661+0.826+1.315</f>
        <v>4.742</v>
      </c>
      <c r="Q785" s="8">
        <v>1.2350000000000001</v>
      </c>
      <c r="R785" s="8">
        <f>0.498+1.324+0.428</f>
        <v>2.25</v>
      </c>
      <c r="S785" s="8"/>
      <c r="T785" s="8"/>
      <c r="U785" s="8">
        <f>N785/M785</f>
        <v>1.5708274894810661</v>
      </c>
      <c r="V785" s="8">
        <f>P785/O785</f>
        <v>1.9586947542337878</v>
      </c>
      <c r="W785" s="8">
        <f>R785/Q785</f>
        <v>1.8218623481781375</v>
      </c>
      <c r="X785" s="8"/>
      <c r="Y785" s="31">
        <f t="shared" si="160"/>
        <v>-0.25134490913720714</v>
      </c>
      <c r="Z785" s="31" t="str">
        <f t="shared" si="161"/>
        <v/>
      </c>
      <c r="AA785" s="31">
        <f t="shared" si="162"/>
        <v>-0.25134490913720714</v>
      </c>
    </row>
    <row r="786" spans="1:27" x14ac:dyDescent="0.25">
      <c r="A786" s="6" t="str">
        <f t="shared" si="156"/>
        <v>complete</v>
      </c>
      <c r="B786" s="6" t="s">
        <v>1196</v>
      </c>
      <c r="C786" s="6" t="str">
        <f t="shared" si="157"/>
        <v>HC49 565</v>
      </c>
      <c r="D786" s="6" t="s">
        <v>715</v>
      </c>
      <c r="E786" s="20">
        <v>565</v>
      </c>
      <c r="G786" s="6" t="s">
        <v>736</v>
      </c>
      <c r="H786" s="6" t="s">
        <v>978</v>
      </c>
      <c r="I786" s="6" t="s">
        <v>20</v>
      </c>
      <c r="J786" s="29">
        <v>4.36829</v>
      </c>
      <c r="K786" s="8">
        <f t="shared" si="158"/>
        <v>0.64031146239335146</v>
      </c>
      <c r="L786" s="8">
        <f t="shared" si="159"/>
        <v>6.0795418141682402</v>
      </c>
      <c r="M786" s="8"/>
      <c r="N786" s="8"/>
      <c r="O786" s="8"/>
      <c r="P786" s="8"/>
      <c r="Q786" s="8"/>
      <c r="R786" s="8"/>
      <c r="S786" s="8">
        <v>0.41099999999999998</v>
      </c>
      <c r="T786" s="8">
        <f>0.353+0.397+0.414+0.261</f>
        <v>1.4249999999999998</v>
      </c>
      <c r="U786" s="8"/>
      <c r="V786" s="8"/>
      <c r="W786" s="8"/>
      <c r="X786" s="8">
        <f>T786/S786</f>
        <v>3.4671532846715327</v>
      </c>
      <c r="Y786" s="31">
        <f t="shared" si="160"/>
        <v>-0.53997304246845979</v>
      </c>
      <c r="Z786" s="31" t="str">
        <f t="shared" si="161"/>
        <v/>
      </c>
      <c r="AA786" s="31">
        <f t="shared" si="162"/>
        <v>-0.53997304246845979</v>
      </c>
    </row>
    <row r="787" spans="1:27" x14ac:dyDescent="0.25">
      <c r="A787" s="6" t="str">
        <f t="shared" si="156"/>
        <v>complete</v>
      </c>
      <c r="B787" s="6" t="s">
        <v>1196</v>
      </c>
      <c r="C787" s="6" t="str">
        <f t="shared" si="157"/>
        <v>HC49 565</v>
      </c>
      <c r="D787" s="6" t="s">
        <v>715</v>
      </c>
      <c r="E787" s="20">
        <v>565</v>
      </c>
      <c r="G787" s="6" t="s">
        <v>745</v>
      </c>
      <c r="H787" s="6" t="s">
        <v>978</v>
      </c>
      <c r="I787" s="8" t="s">
        <v>20</v>
      </c>
      <c r="J787" s="29">
        <v>19.026389999999999</v>
      </c>
      <c r="K787" s="8">
        <f t="shared" si="158"/>
        <v>1.2793563946031017</v>
      </c>
      <c r="L787" s="8">
        <f t="shared" si="159"/>
        <v>7.5509971488278014</v>
      </c>
      <c r="M787" s="8"/>
      <c r="N787" s="8"/>
      <c r="O787" s="8">
        <v>3.395</v>
      </c>
      <c r="P787" s="8">
        <f>0.523 + 1.087 + 1.164 + 1.211 + 0.951</f>
        <v>4.9359999999999999</v>
      </c>
      <c r="Q787" s="8"/>
      <c r="R787" s="8"/>
      <c r="S787" s="8">
        <v>2.1859999999999999</v>
      </c>
      <c r="T787" s="8">
        <f>0.919 + 1.011 + 0.597 + 0.541 + 0.939 + 0.675</f>
        <v>4.6819999999999995</v>
      </c>
      <c r="U787" s="8"/>
      <c r="V787" s="8">
        <f>P787/O787</f>
        <v>1.4539027982326951</v>
      </c>
      <c r="W787" s="8"/>
      <c r="X787" s="8">
        <f>T787/S787</f>
        <v>2.1418115279048489</v>
      </c>
      <c r="Y787" s="31">
        <f t="shared" si="160"/>
        <v>-0.25475518475249198</v>
      </c>
      <c r="Z787" s="31" t="str">
        <f t="shared" si="161"/>
        <v/>
      </c>
      <c r="AA787" s="31">
        <f t="shared" si="162"/>
        <v>-0.25475518475249198</v>
      </c>
    </row>
    <row r="788" spans="1:27" x14ac:dyDescent="0.25">
      <c r="A788" s="6" t="str">
        <f t="shared" si="156"/>
        <v>complete</v>
      </c>
      <c r="B788" s="6" t="s">
        <v>1196</v>
      </c>
      <c r="C788" s="6" t="str">
        <f t="shared" si="157"/>
        <v>HC49 565</v>
      </c>
      <c r="D788" s="6" t="s">
        <v>715</v>
      </c>
      <c r="E788" s="20">
        <v>565</v>
      </c>
      <c r="G788" s="6" t="s">
        <v>746</v>
      </c>
      <c r="H788" s="6" t="s">
        <v>978</v>
      </c>
      <c r="I788" s="8" t="s">
        <v>20</v>
      </c>
      <c r="J788" s="29">
        <v>8.2817799999999995</v>
      </c>
      <c r="K788" s="8">
        <f t="shared" si="158"/>
        <v>0.91812368957434654</v>
      </c>
      <c r="L788" s="8">
        <f t="shared" si="159"/>
        <v>6.7192281071266748</v>
      </c>
      <c r="M788" s="8"/>
      <c r="N788" s="8"/>
      <c r="O788" s="8"/>
      <c r="P788" s="8"/>
      <c r="Q788" s="8"/>
      <c r="R788" s="8"/>
      <c r="S788" s="8">
        <v>1.0349999999999999</v>
      </c>
      <c r="T788" s="8">
        <f>0.493+0.968+1.034+0.263</f>
        <v>2.758</v>
      </c>
      <c r="U788" s="8"/>
      <c r="V788" s="8"/>
      <c r="W788" s="8"/>
      <c r="X788" s="8">
        <f>T788/S788</f>
        <v>2.6647342995169083</v>
      </c>
      <c r="Y788" s="31">
        <f t="shared" si="160"/>
        <v>-0.4256539120468944</v>
      </c>
      <c r="Z788" s="31" t="str">
        <f t="shared" si="161"/>
        <v/>
      </c>
      <c r="AA788" s="31">
        <f t="shared" si="162"/>
        <v>-0.4256539120468944</v>
      </c>
    </row>
    <row r="789" spans="1:27" x14ac:dyDescent="0.25">
      <c r="A789" s="6" t="str">
        <f t="shared" si="156"/>
        <v>complete</v>
      </c>
      <c r="B789" s="6" t="s">
        <v>1196</v>
      </c>
      <c r="C789" s="6" t="str">
        <f t="shared" si="157"/>
        <v>HC49 565</v>
      </c>
      <c r="D789" s="6" t="s">
        <v>715</v>
      </c>
      <c r="E789" s="20">
        <v>565</v>
      </c>
      <c r="G789" s="6" t="s">
        <v>747</v>
      </c>
      <c r="H789" s="6" t="s">
        <v>978</v>
      </c>
      <c r="I789" s="8" t="s">
        <v>20</v>
      </c>
      <c r="J789" s="29">
        <v>17.53144</v>
      </c>
      <c r="K789" s="8">
        <f t="shared" si="158"/>
        <v>1.2438175897029959</v>
      </c>
      <c r="L789" s="8">
        <f t="shared" si="159"/>
        <v>7.4691660264419939</v>
      </c>
      <c r="M789" s="8">
        <v>0.65</v>
      </c>
      <c r="N789" s="8">
        <f>0.572+0.696+0.428</f>
        <v>1.6959999999999997</v>
      </c>
      <c r="O789" s="8">
        <v>1.556</v>
      </c>
      <c r="P789" s="8">
        <f>0.572+0.777+1.004+0.48+0.296</f>
        <v>3.1289999999999996</v>
      </c>
      <c r="Q789" s="8">
        <v>1.093</v>
      </c>
      <c r="R789" s="8">
        <f>0.472+0.756+0.768</f>
        <v>1.996</v>
      </c>
      <c r="S789" s="8"/>
      <c r="T789" s="8"/>
      <c r="U789" s="8">
        <f>N789/M789</f>
        <v>2.6092307692307686</v>
      </c>
      <c r="V789" s="8">
        <f>P789/O789</f>
        <v>2.0109254498714648</v>
      </c>
      <c r="W789" s="8">
        <f>R789/Q789</f>
        <v>1.8261665141811529</v>
      </c>
      <c r="X789" s="8"/>
      <c r="Y789" s="31">
        <f t="shared" si="160"/>
        <v>-0.33219078982858552</v>
      </c>
      <c r="Z789" s="31" t="str">
        <f t="shared" si="161"/>
        <v/>
      </c>
      <c r="AA789" s="31">
        <f t="shared" si="162"/>
        <v>-0.33219078982858552</v>
      </c>
    </row>
    <row r="790" spans="1:27" x14ac:dyDescent="0.25">
      <c r="A790" s="6" t="str">
        <f t="shared" si="156"/>
        <v>fragment</v>
      </c>
      <c r="B790" s="6" t="s">
        <v>1196</v>
      </c>
      <c r="C790" s="6" t="str">
        <f t="shared" si="157"/>
        <v>HC49 571</v>
      </c>
      <c r="D790" s="22" t="s">
        <v>715</v>
      </c>
      <c r="E790" s="22">
        <v>571</v>
      </c>
      <c r="F790" s="6" t="s">
        <v>545</v>
      </c>
      <c r="G790" s="22" t="s">
        <v>1017</v>
      </c>
      <c r="H790" s="6" t="s">
        <v>977</v>
      </c>
      <c r="I790" s="6" t="s">
        <v>20</v>
      </c>
      <c r="J790" s="30"/>
      <c r="K790" s="8" t="str">
        <f t="shared" si="158"/>
        <v/>
      </c>
      <c r="L790" s="8" t="str">
        <f t="shared" si="159"/>
        <v/>
      </c>
      <c r="M790" s="23">
        <f>0.794</f>
        <v>0.79400000000000004</v>
      </c>
      <c r="N790" s="23">
        <f>0.532+0.821</f>
        <v>1.353</v>
      </c>
      <c r="O790" s="23">
        <v>1.07</v>
      </c>
      <c r="P790" s="23">
        <f>0.255+1.544+0.656</f>
        <v>2.4550000000000001</v>
      </c>
      <c r="Q790" s="23"/>
      <c r="R790" s="23"/>
      <c r="S790" s="8"/>
      <c r="T790" s="8"/>
      <c r="U790" s="8">
        <v>1.7040302267002518</v>
      </c>
      <c r="V790" s="8">
        <v>2.2943925233644857</v>
      </c>
      <c r="W790" s="8"/>
      <c r="X790" s="8"/>
      <c r="Y790" s="31">
        <f t="shared" si="160"/>
        <v>-0.30085871415667653</v>
      </c>
      <c r="Z790" s="31">
        <f t="shared" si="161"/>
        <v>-0.30085871415667653</v>
      </c>
      <c r="AA790" s="31" t="str">
        <f t="shared" si="162"/>
        <v/>
      </c>
    </row>
    <row r="791" spans="1:27" x14ac:dyDescent="0.25">
      <c r="A791" s="6" t="str">
        <f t="shared" si="156"/>
        <v>fragment</v>
      </c>
      <c r="B791" s="6" t="s">
        <v>1196</v>
      </c>
      <c r="C791" s="6" t="str">
        <f t="shared" si="157"/>
        <v>HC49 571</v>
      </c>
      <c r="D791" s="22" t="s">
        <v>715</v>
      </c>
      <c r="E791" s="22">
        <v>571</v>
      </c>
      <c r="F791" s="6" t="s">
        <v>545</v>
      </c>
      <c r="G791" s="22" t="s">
        <v>1018</v>
      </c>
      <c r="H791" s="6" t="s">
        <v>977</v>
      </c>
      <c r="I791" s="6" t="s">
        <v>20</v>
      </c>
      <c r="J791" s="30"/>
      <c r="K791" s="8" t="str">
        <f t="shared" si="158"/>
        <v/>
      </c>
      <c r="L791" s="8" t="str">
        <f t="shared" si="159"/>
        <v/>
      </c>
      <c r="M791" s="23">
        <v>0.56299999999999994</v>
      </c>
      <c r="N791" s="23">
        <f>0.598+0.269</f>
        <v>0.86699999999999999</v>
      </c>
      <c r="O791" s="23">
        <v>0.54800000000000004</v>
      </c>
      <c r="P791" s="23">
        <f>0.509+0.721</f>
        <v>1.23</v>
      </c>
      <c r="Q791" s="23">
        <v>0.45300000000000001</v>
      </c>
      <c r="R791" s="23">
        <f>0.501+0.334</f>
        <v>0.83499999999999996</v>
      </c>
      <c r="S791" s="8"/>
      <c r="T791" s="8"/>
      <c r="U791" s="8">
        <v>1.5399644760213145</v>
      </c>
      <c r="V791" s="8">
        <v>2.2445255474452552</v>
      </c>
      <c r="W791" s="8">
        <v>1.8432671081677703</v>
      </c>
      <c r="X791" s="8"/>
      <c r="Y791" s="31">
        <f t="shared" si="160"/>
        <v>-0.27321409227564286</v>
      </c>
      <c r="Z791" s="31">
        <f t="shared" si="161"/>
        <v>-0.27321409227564286</v>
      </c>
      <c r="AA791" s="31" t="str">
        <f t="shared" si="162"/>
        <v/>
      </c>
    </row>
    <row r="792" spans="1:27" x14ac:dyDescent="0.25">
      <c r="A792" s="6" t="str">
        <f t="shared" si="156"/>
        <v>complete</v>
      </c>
      <c r="B792" s="6" t="s">
        <v>1196</v>
      </c>
      <c r="C792" s="6" t="str">
        <f t="shared" si="157"/>
        <v>HC49 571</v>
      </c>
      <c r="D792" s="22" t="s">
        <v>715</v>
      </c>
      <c r="E792" s="22">
        <v>571</v>
      </c>
      <c r="F792" s="6" t="s">
        <v>545</v>
      </c>
      <c r="G792" s="22" t="s">
        <v>1020</v>
      </c>
      <c r="H792" s="6" t="s">
        <v>977</v>
      </c>
      <c r="I792" s="6" t="s">
        <v>20</v>
      </c>
      <c r="J792" s="30">
        <f>6.325*2</f>
        <v>12.65</v>
      </c>
      <c r="K792" s="8">
        <f t="shared" si="158"/>
        <v>1.1020905255118367</v>
      </c>
      <c r="L792" s="8">
        <f t="shared" si="159"/>
        <v>7.1428274011616208</v>
      </c>
      <c r="M792" s="23">
        <v>0.63300000000000001</v>
      </c>
      <c r="N792" s="23">
        <f>0.15+0.602+0.882+0.197</f>
        <v>1.831</v>
      </c>
      <c r="O792" s="23">
        <v>0.79300000000000004</v>
      </c>
      <c r="P792" s="23">
        <f>0.742+0.821</f>
        <v>1.5629999999999999</v>
      </c>
      <c r="Q792" s="23">
        <v>0.621</v>
      </c>
      <c r="R792" s="23">
        <f>0.875+0.355+0.514</f>
        <v>1.744</v>
      </c>
      <c r="S792" s="8"/>
      <c r="T792" s="8"/>
      <c r="U792" s="8">
        <v>2.8925750394944707</v>
      </c>
      <c r="V792" s="8">
        <v>1.9709962168978561</v>
      </c>
      <c r="W792" s="8">
        <v>2.8083735909822867</v>
      </c>
      <c r="X792" s="8"/>
      <c r="Y792" s="31">
        <f t="shared" si="160"/>
        <v>-0.40778421736695891</v>
      </c>
      <c r="Z792" s="31" t="str">
        <f t="shared" si="161"/>
        <v/>
      </c>
      <c r="AA792" s="31">
        <f t="shared" si="162"/>
        <v>-0.40778421736695891</v>
      </c>
    </row>
    <row r="793" spans="1:27" x14ac:dyDescent="0.25">
      <c r="A793" s="6" t="str">
        <f t="shared" si="156"/>
        <v>fragment</v>
      </c>
      <c r="B793" s="6" t="s">
        <v>1196</v>
      </c>
      <c r="C793" s="6" t="str">
        <f t="shared" si="157"/>
        <v>HC49 572</v>
      </c>
      <c r="D793" s="22" t="s">
        <v>715</v>
      </c>
      <c r="E793" s="22">
        <v>572</v>
      </c>
      <c r="F793" s="22"/>
      <c r="G793" s="22" t="s">
        <v>1053</v>
      </c>
      <c r="H793" s="22" t="s">
        <v>977</v>
      </c>
      <c r="I793" s="6" t="s">
        <v>20</v>
      </c>
      <c r="J793" s="30"/>
      <c r="K793" s="8" t="str">
        <f t="shared" si="158"/>
        <v/>
      </c>
      <c r="L793" s="8" t="str">
        <f t="shared" si="159"/>
        <v/>
      </c>
      <c r="M793" s="23"/>
      <c r="N793" s="23"/>
      <c r="O793" s="23">
        <v>1.843</v>
      </c>
      <c r="P793" s="23">
        <f>1.449+0.984</f>
        <v>2.4329999999999998</v>
      </c>
      <c r="Q793" s="23">
        <v>3.0270000000000001</v>
      </c>
      <c r="R793" s="23">
        <f>1.039+2.236+0.87</f>
        <v>4.1450000000000005</v>
      </c>
      <c r="S793" s="8"/>
      <c r="T793" s="8"/>
      <c r="U793" s="8"/>
      <c r="V793" s="8">
        <v>1.3201302224633749</v>
      </c>
      <c r="W793" s="8">
        <v>1.3693425834159234</v>
      </c>
      <c r="X793" s="8"/>
      <c r="Y793" s="31">
        <f t="shared" si="160"/>
        <v>-0.12863716168551723</v>
      </c>
      <c r="Z793" s="31">
        <f t="shared" si="161"/>
        <v>-0.12863716168551723</v>
      </c>
      <c r="AA793" s="31" t="str">
        <f t="shared" si="162"/>
        <v/>
      </c>
    </row>
    <row r="794" spans="1:27" x14ac:dyDescent="0.25">
      <c r="A794" s="6" t="str">
        <f t="shared" si="156"/>
        <v>fragment</v>
      </c>
      <c r="B794" s="6" t="s">
        <v>1196</v>
      </c>
      <c r="C794" s="6" t="str">
        <f t="shared" si="157"/>
        <v>HC49 572</v>
      </c>
      <c r="D794" s="22" t="s">
        <v>715</v>
      </c>
      <c r="E794" s="22">
        <v>572</v>
      </c>
      <c r="F794" s="22"/>
      <c r="G794" s="22" t="s">
        <v>1054</v>
      </c>
      <c r="H794" s="22" t="s">
        <v>977</v>
      </c>
      <c r="I794" s="6" t="s">
        <v>20</v>
      </c>
      <c r="J794" s="30"/>
      <c r="K794" s="8" t="str">
        <f t="shared" si="158"/>
        <v/>
      </c>
      <c r="L794" s="8" t="str">
        <f t="shared" si="159"/>
        <v/>
      </c>
      <c r="M794" s="25"/>
      <c r="N794" s="25"/>
      <c r="O794" s="23"/>
      <c r="P794" s="23"/>
      <c r="Q794" s="23">
        <v>0.68600000000000005</v>
      </c>
      <c r="R794" s="23">
        <f>0.152+0.85+0.817</f>
        <v>1.819</v>
      </c>
      <c r="S794" s="8"/>
      <c r="T794" s="8"/>
      <c r="U794" s="8"/>
      <c r="V794" s="8"/>
      <c r="W794" s="8">
        <v>2.6516034985422738</v>
      </c>
      <c r="X794" s="8"/>
      <c r="Y794" s="31">
        <f t="shared" si="160"/>
        <v>-0.42350858335673186</v>
      </c>
      <c r="Z794" s="31">
        <f t="shared" si="161"/>
        <v>-0.42350858335673186</v>
      </c>
      <c r="AA794" s="31" t="str">
        <f t="shared" si="162"/>
        <v/>
      </c>
    </row>
    <row r="795" spans="1:27" x14ac:dyDescent="0.25">
      <c r="A795" s="6" t="str">
        <f t="shared" si="156"/>
        <v>complete</v>
      </c>
      <c r="B795" s="6" t="s">
        <v>1196</v>
      </c>
      <c r="C795" s="6" t="str">
        <f t="shared" si="157"/>
        <v>HC49 572</v>
      </c>
      <c r="D795" s="22" t="s">
        <v>715</v>
      </c>
      <c r="E795" s="22">
        <v>572</v>
      </c>
      <c r="F795" s="22"/>
      <c r="G795" s="22" t="s">
        <v>1055</v>
      </c>
      <c r="H795" s="22" t="s">
        <v>977</v>
      </c>
      <c r="I795" s="6" t="s">
        <v>20</v>
      </c>
      <c r="J795" s="30">
        <v>10.577</v>
      </c>
      <c r="K795" s="8">
        <f t="shared" si="158"/>
        <v>1.0243625043532822</v>
      </c>
      <c r="L795" s="8">
        <f t="shared" si="159"/>
        <v>6.9638520183340074</v>
      </c>
      <c r="M795" s="23">
        <v>0.54900000000000004</v>
      </c>
      <c r="N795" s="23">
        <f>0.729+0.572</f>
        <v>1.3009999999999999</v>
      </c>
      <c r="O795" s="23">
        <v>0.60799999999999998</v>
      </c>
      <c r="P795" s="23">
        <f>0.54+0.848+0.345</f>
        <v>1.7329999999999999</v>
      </c>
      <c r="Q795" s="23">
        <v>0.41699999999999998</v>
      </c>
      <c r="R795" s="23">
        <f>0.502+0.765</f>
        <v>1.2669999999999999</v>
      </c>
      <c r="S795" s="8"/>
      <c r="T795" s="8"/>
      <c r="U795" s="8">
        <v>2.3697632058287792</v>
      </c>
      <c r="V795" s="8">
        <v>2.8503289473684208</v>
      </c>
      <c r="W795" s="8">
        <v>3.0383693045563547</v>
      </c>
      <c r="X795" s="8"/>
      <c r="Y795" s="31">
        <f t="shared" si="160"/>
        <v>-0.43977789155416075</v>
      </c>
      <c r="Z795" s="31" t="str">
        <f t="shared" si="161"/>
        <v/>
      </c>
      <c r="AA795" s="31">
        <f t="shared" si="162"/>
        <v>-0.43977789155416075</v>
      </c>
    </row>
    <row r="796" spans="1:27" x14ac:dyDescent="0.25">
      <c r="A796" s="6" t="str">
        <f t="shared" si="156"/>
        <v>fragment</v>
      </c>
      <c r="B796" s="6" t="s">
        <v>1196</v>
      </c>
      <c r="C796" s="6" t="str">
        <f t="shared" si="157"/>
        <v>HC49 572</v>
      </c>
      <c r="D796" s="22" t="s">
        <v>715</v>
      </c>
      <c r="E796" s="22">
        <v>572</v>
      </c>
      <c r="F796" s="22"/>
      <c r="G796" s="22" t="s">
        <v>1056</v>
      </c>
      <c r="H796" s="22" t="s">
        <v>977</v>
      </c>
      <c r="I796" s="6" t="s">
        <v>20</v>
      </c>
      <c r="J796" s="30"/>
      <c r="K796" s="8" t="str">
        <f t="shared" si="158"/>
        <v/>
      </c>
      <c r="L796" s="8" t="str">
        <f t="shared" si="159"/>
        <v/>
      </c>
      <c r="M796" s="23"/>
      <c r="N796" s="23"/>
      <c r="O796" s="23">
        <v>0.497</v>
      </c>
      <c r="P796" s="23">
        <f>0.622+0.544</f>
        <v>1.1659999999999999</v>
      </c>
      <c r="Q796" s="23">
        <v>0.45300000000000001</v>
      </c>
      <c r="R796" s="23">
        <f>0.62+0.766</f>
        <v>1.3860000000000001</v>
      </c>
      <c r="S796" s="8"/>
      <c r="T796" s="8"/>
      <c r="U796" s="8"/>
      <c r="V796" s="8">
        <v>2.3460764587525151</v>
      </c>
      <c r="W796" s="8">
        <v>3.0596026490066226</v>
      </c>
      <c r="X796" s="8"/>
      <c r="Y796" s="31">
        <f t="shared" si="160"/>
        <v>-0.43182026584933403</v>
      </c>
      <c r="Z796" s="31">
        <f t="shared" si="161"/>
        <v>-0.43182026584933403</v>
      </c>
      <c r="AA796" s="31" t="str">
        <f t="shared" si="162"/>
        <v/>
      </c>
    </row>
    <row r="797" spans="1:27" x14ac:dyDescent="0.25">
      <c r="A797" s="6" t="str">
        <f t="shared" si="156"/>
        <v>fragment</v>
      </c>
      <c r="B797" s="6" t="s">
        <v>1196</v>
      </c>
      <c r="C797" s="6" t="str">
        <f t="shared" si="157"/>
        <v>HC49 572</v>
      </c>
      <c r="D797" s="22" t="s">
        <v>715</v>
      </c>
      <c r="E797" s="22">
        <v>572</v>
      </c>
      <c r="F797" s="22"/>
      <c r="G797" s="22" t="s">
        <v>1057</v>
      </c>
      <c r="H797" s="22" t="s">
        <v>977</v>
      </c>
      <c r="I797" s="6" t="s">
        <v>20</v>
      </c>
      <c r="J797" s="30"/>
      <c r="K797" s="8" t="str">
        <f t="shared" si="158"/>
        <v/>
      </c>
      <c r="L797" s="8" t="str">
        <f t="shared" si="159"/>
        <v/>
      </c>
      <c r="M797" s="23">
        <v>0.38200000000000001</v>
      </c>
      <c r="N797" s="23">
        <f>0.5+0.325</f>
        <v>0.82499999999999996</v>
      </c>
      <c r="O797" s="23">
        <v>0.47299999999999998</v>
      </c>
      <c r="P797" s="23">
        <f>0.653+0.422</f>
        <v>1.075</v>
      </c>
      <c r="Q797" s="23">
        <v>0.46800000000000003</v>
      </c>
      <c r="R797" s="23">
        <f>0.248+0.564+0.407</f>
        <v>1.2189999999999999</v>
      </c>
      <c r="S797" s="8"/>
      <c r="T797" s="8"/>
      <c r="U797" s="8">
        <v>2.1596858638743455</v>
      </c>
      <c r="V797" s="8">
        <v>2.2727272727272729</v>
      </c>
      <c r="W797" s="8">
        <v>2.6047008547008543</v>
      </c>
      <c r="X797" s="8"/>
      <c r="Y797" s="31">
        <f t="shared" si="160"/>
        <v>-0.3702733313216145</v>
      </c>
      <c r="Z797" s="31">
        <f t="shared" si="161"/>
        <v>-0.3702733313216145</v>
      </c>
      <c r="AA797" s="31" t="str">
        <f t="shared" si="162"/>
        <v/>
      </c>
    </row>
    <row r="798" spans="1:27" x14ac:dyDescent="0.25">
      <c r="A798" s="6" t="str">
        <f t="shared" si="156"/>
        <v>fragment</v>
      </c>
      <c r="B798" s="6" t="s">
        <v>1196</v>
      </c>
      <c r="C798" s="6" t="str">
        <f t="shared" si="157"/>
        <v>HC49 572</v>
      </c>
      <c r="D798" s="22" t="s">
        <v>715</v>
      </c>
      <c r="E798" s="22">
        <v>572</v>
      </c>
      <c r="F798" s="22"/>
      <c r="G798" s="22" t="s">
        <v>1058</v>
      </c>
      <c r="H798" s="22" t="s">
        <v>977</v>
      </c>
      <c r="I798" s="6" t="s">
        <v>20</v>
      </c>
      <c r="J798" s="30"/>
      <c r="K798" s="8" t="str">
        <f t="shared" si="158"/>
        <v/>
      </c>
      <c r="L798" s="8" t="str">
        <f t="shared" si="159"/>
        <v/>
      </c>
      <c r="M798" s="23"/>
      <c r="N798" s="23"/>
      <c r="O798" s="23">
        <v>0.42299999999999999</v>
      </c>
      <c r="P798" s="23">
        <f>0.551+0.727+0.321</f>
        <v>1.599</v>
      </c>
      <c r="Q798" s="25">
        <v>0.56799999999999995</v>
      </c>
      <c r="R798" s="25">
        <f>0.66+0.818+0.341</f>
        <v>1.819</v>
      </c>
      <c r="S798" s="8"/>
      <c r="T798" s="8"/>
      <c r="U798" s="8"/>
      <c r="V798" s="8">
        <v>3.7801418439716312</v>
      </c>
      <c r="W798" s="8">
        <v>3.2024647887323945</v>
      </c>
      <c r="X798" s="8"/>
      <c r="Y798" s="31">
        <f t="shared" si="160"/>
        <v>-0.5429875809527196</v>
      </c>
      <c r="Z798" s="31">
        <f t="shared" si="161"/>
        <v>-0.5429875809527196</v>
      </c>
      <c r="AA798" s="31" t="str">
        <f t="shared" si="162"/>
        <v/>
      </c>
    </row>
    <row r="799" spans="1:27" x14ac:dyDescent="0.25">
      <c r="A799" s="6" t="str">
        <f t="shared" si="156"/>
        <v>fragment</v>
      </c>
      <c r="B799" s="6" t="s">
        <v>1196</v>
      </c>
      <c r="C799" s="6" t="str">
        <f t="shared" si="157"/>
        <v>HC49 572</v>
      </c>
      <c r="D799" s="22" t="s">
        <v>715</v>
      </c>
      <c r="E799" s="22">
        <v>572</v>
      </c>
      <c r="F799" s="22"/>
      <c r="G799" s="22" t="s">
        <v>1059</v>
      </c>
      <c r="H799" s="22" t="s">
        <v>977</v>
      </c>
      <c r="I799" s="6" t="s">
        <v>20</v>
      </c>
      <c r="J799" s="30"/>
      <c r="K799" s="8" t="str">
        <f t="shared" si="158"/>
        <v/>
      </c>
      <c r="L799" s="8" t="str">
        <f t="shared" si="159"/>
        <v/>
      </c>
      <c r="M799" s="23">
        <v>1.099</v>
      </c>
      <c r="N799" s="23">
        <f>0.259+1.431+0.374</f>
        <v>2.0640000000000001</v>
      </c>
      <c r="O799" s="25">
        <v>1.353</v>
      </c>
      <c r="P799" s="25">
        <f>0.372+1.458+0.953+0.475</f>
        <v>3.258</v>
      </c>
      <c r="Q799" s="23">
        <v>1.109</v>
      </c>
      <c r="R799" s="23">
        <f>0.6+0.879+0.765+0.389</f>
        <v>2.633</v>
      </c>
      <c r="S799" s="8"/>
      <c r="T799" s="8"/>
      <c r="U799" s="8">
        <v>1.8780709736123751</v>
      </c>
      <c r="V799" s="8">
        <v>2.4079822616407984</v>
      </c>
      <c r="W799" s="8">
        <v>2.3742110009017132</v>
      </c>
      <c r="X799" s="8"/>
      <c r="Y799" s="31">
        <f t="shared" si="160"/>
        <v>-0.34637020478510755</v>
      </c>
      <c r="Z799" s="31">
        <f t="shared" si="161"/>
        <v>-0.34637020478510755</v>
      </c>
      <c r="AA799" s="31" t="str">
        <f t="shared" si="162"/>
        <v/>
      </c>
    </row>
    <row r="800" spans="1:27" x14ac:dyDescent="0.25">
      <c r="A800" s="6" t="str">
        <f t="shared" si="156"/>
        <v>complete</v>
      </c>
      <c r="B800" s="6" t="s">
        <v>1196</v>
      </c>
      <c r="C800" s="6" t="str">
        <f t="shared" si="157"/>
        <v>HC49 86145</v>
      </c>
      <c r="D800" s="6" t="s">
        <v>715</v>
      </c>
      <c r="E800" s="20">
        <v>86145</v>
      </c>
      <c r="G800" s="6" t="s">
        <v>748</v>
      </c>
      <c r="H800" s="6" t="s">
        <v>974</v>
      </c>
      <c r="I800" s="8" t="s">
        <v>20</v>
      </c>
      <c r="J800" s="29">
        <v>9.9504400000000004</v>
      </c>
      <c r="K800" s="8">
        <f t="shared" si="158"/>
        <v>0.9978422853032195</v>
      </c>
      <c r="L800" s="8">
        <f t="shared" si="159"/>
        <v>6.9027869572863967</v>
      </c>
      <c r="M800" s="8">
        <v>0.77700000000000002</v>
      </c>
      <c r="N800" s="8">
        <f>0.326+1.111+0.264+0.829</f>
        <v>2.5300000000000002</v>
      </c>
      <c r="O800" s="8">
        <v>1.4470000000000001</v>
      </c>
      <c r="P800" s="8">
        <f>0.687+1.64+1.208+0.227</f>
        <v>3.762</v>
      </c>
      <c r="Q800" s="8">
        <v>0.623</v>
      </c>
      <c r="R800" s="8">
        <f>0.429+0.767+0.56</f>
        <v>1.756</v>
      </c>
      <c r="S800" s="8"/>
      <c r="T800" s="8"/>
      <c r="U800" s="8">
        <f>N800/M800</f>
        <v>3.2561132561132564</v>
      </c>
      <c r="V800" s="8">
        <f>P800/O800</f>
        <v>2.5998617829993087</v>
      </c>
      <c r="W800" s="8">
        <f>R800/Q800</f>
        <v>2.8186195826645264</v>
      </c>
      <c r="X800" s="8"/>
      <c r="Y800" s="31">
        <f t="shared" si="160"/>
        <v>-0.46112793391456119</v>
      </c>
      <c r="Z800" s="31" t="str">
        <f t="shared" si="161"/>
        <v/>
      </c>
      <c r="AA800" s="31">
        <f t="shared" si="162"/>
        <v>-0.46112793391456119</v>
      </c>
    </row>
    <row r="801" spans="1:27" x14ac:dyDescent="0.25">
      <c r="A801" s="6" t="str">
        <f t="shared" si="156"/>
        <v>fragment</v>
      </c>
      <c r="B801" s="6" t="s">
        <v>1196</v>
      </c>
      <c r="C801" s="6" t="str">
        <f t="shared" si="157"/>
        <v>HC49 87103</v>
      </c>
      <c r="D801" s="22" t="s">
        <v>715</v>
      </c>
      <c r="E801" s="20">
        <v>87103</v>
      </c>
      <c r="F801" s="22"/>
      <c r="G801" s="22" t="s">
        <v>1030</v>
      </c>
      <c r="H801" s="22" t="s">
        <v>977</v>
      </c>
      <c r="I801" s="6" t="s">
        <v>20</v>
      </c>
      <c r="J801" s="30"/>
      <c r="K801" s="8" t="str">
        <f t="shared" si="158"/>
        <v/>
      </c>
      <c r="L801" s="8" t="str">
        <f t="shared" si="159"/>
        <v/>
      </c>
      <c r="M801" s="23"/>
      <c r="N801" s="23"/>
      <c r="O801" s="23">
        <v>0.40799999999999997</v>
      </c>
      <c r="P801" s="23">
        <f>0.355+0.597+0.412</f>
        <v>1.3639999999999999</v>
      </c>
      <c r="Q801" s="23">
        <v>0.33400000000000002</v>
      </c>
      <c r="R801" s="23">
        <f>0.396+0.422+0.254</f>
        <v>1.0720000000000001</v>
      </c>
      <c r="S801" s="8"/>
      <c r="T801" s="8"/>
      <c r="U801" s="8"/>
      <c r="V801" s="8">
        <v>3.3431372549019609</v>
      </c>
      <c r="W801" s="8">
        <v>3.2095808383233533</v>
      </c>
      <c r="X801" s="8"/>
      <c r="Y801" s="31">
        <f t="shared" si="160"/>
        <v>-0.51539148875939644</v>
      </c>
      <c r="Z801" s="31">
        <f t="shared" si="161"/>
        <v>-0.51539148875939644</v>
      </c>
      <c r="AA801" s="31" t="str">
        <f t="shared" si="162"/>
        <v/>
      </c>
    </row>
    <row r="802" spans="1:27" x14ac:dyDescent="0.25">
      <c r="A802" s="6" t="str">
        <f t="shared" si="156"/>
        <v>complete</v>
      </c>
      <c r="B802" s="6" t="s">
        <v>1196</v>
      </c>
      <c r="C802" s="6" t="str">
        <f t="shared" si="157"/>
        <v>HC49 87103</v>
      </c>
      <c r="D802" s="22" t="s">
        <v>715</v>
      </c>
      <c r="E802" s="20">
        <v>87103</v>
      </c>
      <c r="F802" s="22"/>
      <c r="G802" s="22" t="s">
        <v>1031</v>
      </c>
      <c r="H802" s="22" t="s">
        <v>977</v>
      </c>
      <c r="I802" s="6" t="s">
        <v>20</v>
      </c>
      <c r="J802" s="30">
        <f>9.218*2</f>
        <v>18.436</v>
      </c>
      <c r="K802" s="8">
        <f t="shared" si="158"/>
        <v>1.2656666994524828</v>
      </c>
      <c r="L802" s="8">
        <f t="shared" si="159"/>
        <v>7.519475460846353</v>
      </c>
      <c r="M802" s="23"/>
      <c r="N802" s="23"/>
      <c r="O802" s="23">
        <v>1.661</v>
      </c>
      <c r="P802" s="23">
        <f>0.555+1.605+0.424+0.252</f>
        <v>2.8360000000000003</v>
      </c>
      <c r="Q802" s="23">
        <v>1.722</v>
      </c>
      <c r="R802" s="23">
        <f>0.341+1.193+1.076+0.633</f>
        <v>3.2430000000000003</v>
      </c>
      <c r="S802" s="8"/>
      <c r="T802" s="8"/>
      <c r="U802" s="8"/>
      <c r="V802" s="8">
        <v>1.7074051776038532</v>
      </c>
      <c r="W802" s="8">
        <v>1.883275261324042</v>
      </c>
      <c r="X802" s="8"/>
      <c r="Y802" s="31">
        <f t="shared" si="160"/>
        <v>-0.25414676012047388</v>
      </c>
      <c r="Z802" s="31" t="str">
        <f t="shared" si="161"/>
        <v/>
      </c>
      <c r="AA802" s="31">
        <f t="shared" si="162"/>
        <v>-0.25414676012047388</v>
      </c>
    </row>
    <row r="803" spans="1:27" x14ac:dyDescent="0.25">
      <c r="A803" s="6" t="str">
        <f t="shared" si="156"/>
        <v>fragment</v>
      </c>
      <c r="B803" s="6" t="s">
        <v>1196</v>
      </c>
      <c r="C803" s="6" t="str">
        <f t="shared" si="157"/>
        <v>HC49 87107</v>
      </c>
      <c r="D803" s="22" t="s">
        <v>715</v>
      </c>
      <c r="E803" s="20">
        <v>87107</v>
      </c>
      <c r="F803" s="22"/>
      <c r="G803" s="22" t="s">
        <v>1032</v>
      </c>
      <c r="H803" s="22"/>
      <c r="I803" s="6" t="s">
        <v>20</v>
      </c>
      <c r="J803" s="30"/>
      <c r="K803" s="8" t="str">
        <f t="shared" si="158"/>
        <v/>
      </c>
      <c r="L803" s="8" t="str">
        <f t="shared" si="159"/>
        <v/>
      </c>
      <c r="M803" s="23">
        <v>0.95</v>
      </c>
      <c r="N803" s="23">
        <f>0.709+0.708+0.905</f>
        <v>2.3220000000000001</v>
      </c>
      <c r="O803" s="25">
        <v>1.137</v>
      </c>
      <c r="P803" s="25">
        <f>0.648+0.67</f>
        <v>1.3180000000000001</v>
      </c>
      <c r="Q803" s="25">
        <v>0.78100000000000003</v>
      </c>
      <c r="R803" s="25">
        <f>0.259+0.82+0.921</f>
        <v>2</v>
      </c>
      <c r="S803" s="8"/>
      <c r="T803" s="8"/>
      <c r="U803" s="8">
        <v>2.4442105263157896</v>
      </c>
      <c r="V803" s="8">
        <v>1.1591908531222517</v>
      </c>
      <c r="W803" s="8">
        <v>2.5608194622279128</v>
      </c>
      <c r="X803" s="8"/>
      <c r="Y803" s="31">
        <f t="shared" si="160"/>
        <v>-0.31275693480089478</v>
      </c>
      <c r="Z803" s="31">
        <f t="shared" si="161"/>
        <v>-0.31275693480089478</v>
      </c>
      <c r="AA803" s="31" t="str">
        <f t="shared" si="162"/>
        <v/>
      </c>
    </row>
    <row r="804" spans="1:27" x14ac:dyDescent="0.25">
      <c r="A804" s="6" t="str">
        <f t="shared" si="156"/>
        <v>complete</v>
      </c>
      <c r="B804" s="6" t="s">
        <v>1196</v>
      </c>
      <c r="C804" s="6" t="str">
        <f t="shared" si="157"/>
        <v>HC49 87107</v>
      </c>
      <c r="D804" s="6" t="s">
        <v>715</v>
      </c>
      <c r="E804" s="20">
        <v>87107</v>
      </c>
      <c r="G804" s="6" t="s">
        <v>737</v>
      </c>
      <c r="I804" s="8" t="s">
        <v>20</v>
      </c>
      <c r="J804" s="29">
        <v>9.3233599999999992</v>
      </c>
      <c r="K804" s="8">
        <f t="shared" si="158"/>
        <v>0.96957245382236412</v>
      </c>
      <c r="L804" s="8">
        <f t="shared" si="159"/>
        <v>6.8376932647371245</v>
      </c>
      <c r="M804" s="8"/>
      <c r="N804" s="8"/>
      <c r="O804" s="8">
        <v>7.2770000000000001</v>
      </c>
      <c r="P804" s="8">
        <f>1.599+0.648+1.885+2.028+1.459</f>
        <v>7.6189999999999998</v>
      </c>
      <c r="Q804" s="8"/>
      <c r="R804" s="8"/>
      <c r="S804" s="8"/>
      <c r="T804" s="8"/>
      <c r="U804" s="8"/>
      <c r="V804" s="8">
        <f t="shared" ref="V804:V809" si="163">P804/O804</f>
        <v>1.0469973890339426</v>
      </c>
      <c r="W804" s="8"/>
      <c r="X804" s="8"/>
      <c r="Y804" s="31">
        <f t="shared" si="160"/>
        <v>-1.9945598651559558E-2</v>
      </c>
      <c r="Z804" s="31" t="str">
        <f t="shared" si="161"/>
        <v/>
      </c>
      <c r="AA804" s="31">
        <f t="shared" si="162"/>
        <v>-1.9945598651559558E-2</v>
      </c>
    </row>
    <row r="805" spans="1:27" x14ac:dyDescent="0.25">
      <c r="A805" s="6" t="str">
        <f t="shared" si="156"/>
        <v>complete</v>
      </c>
      <c r="B805" s="6" t="s">
        <v>1196</v>
      </c>
      <c r="C805" s="6" t="str">
        <f t="shared" si="157"/>
        <v>HC49 87112</v>
      </c>
      <c r="D805" s="6" t="s">
        <v>715</v>
      </c>
      <c r="E805" s="20">
        <v>87112</v>
      </c>
      <c r="G805" s="6" t="s">
        <v>743</v>
      </c>
      <c r="H805" s="22" t="s">
        <v>977</v>
      </c>
      <c r="I805" s="8" t="s">
        <v>20</v>
      </c>
      <c r="J805" s="29">
        <v>5.4827000000000004</v>
      </c>
      <c r="K805" s="8">
        <f t="shared" si="158"/>
        <v>0.73899448299655102</v>
      </c>
      <c r="L805" s="8">
        <f t="shared" si="159"/>
        <v>6.3067678663407918</v>
      </c>
      <c r="M805" s="8"/>
      <c r="N805" s="8"/>
      <c r="O805" s="8">
        <v>0.34499999999999997</v>
      </c>
      <c r="P805" s="8">
        <f>0.373+0.414+0.333</f>
        <v>1.1199999999999999</v>
      </c>
      <c r="Q805" s="8"/>
      <c r="R805" s="8"/>
      <c r="S805" s="8"/>
      <c r="T805" s="8"/>
      <c r="U805" s="8"/>
      <c r="V805" s="8">
        <f t="shared" si="163"/>
        <v>3.2463768115942027</v>
      </c>
      <c r="W805" s="8"/>
      <c r="X805" s="8"/>
      <c r="Y805" s="31">
        <f t="shared" si="160"/>
        <v>-0.51139892759690742</v>
      </c>
      <c r="Z805" s="31" t="str">
        <f t="shared" si="161"/>
        <v/>
      </c>
      <c r="AA805" s="31">
        <f t="shared" si="162"/>
        <v>-0.51139892759690742</v>
      </c>
    </row>
    <row r="806" spans="1:27" x14ac:dyDescent="0.25">
      <c r="A806" s="6" t="str">
        <f t="shared" si="156"/>
        <v>complete</v>
      </c>
      <c r="B806" s="6" t="s">
        <v>1196</v>
      </c>
      <c r="C806" s="6" t="str">
        <f t="shared" si="157"/>
        <v>HC49 87112</v>
      </c>
      <c r="D806" s="6" t="s">
        <v>715</v>
      </c>
      <c r="E806" s="20">
        <v>87112</v>
      </c>
      <c r="G806" s="6" t="s">
        <v>744</v>
      </c>
      <c r="H806" s="22" t="s">
        <v>977</v>
      </c>
      <c r="I806" s="8" t="s">
        <v>20</v>
      </c>
      <c r="J806" s="29">
        <v>4.3139599999999998</v>
      </c>
      <c r="K806" s="8">
        <f t="shared" si="158"/>
        <v>0.63487611390982401</v>
      </c>
      <c r="L806" s="8">
        <f t="shared" si="159"/>
        <v>6.0670264617748417</v>
      </c>
      <c r="M806" s="8">
        <v>0.28000000000000003</v>
      </c>
      <c r="N806" s="8">
        <f>0.485+0.555</f>
        <v>1.04</v>
      </c>
      <c r="O806" s="8">
        <v>0.27300000000000002</v>
      </c>
      <c r="P806" s="8">
        <f>0.6+0.621</f>
        <v>1.2210000000000001</v>
      </c>
      <c r="Q806" s="8"/>
      <c r="R806" s="8"/>
      <c r="S806" s="8"/>
      <c r="T806" s="8"/>
      <c r="U806" s="8">
        <f>N806/M806</f>
        <v>3.714285714285714</v>
      </c>
      <c r="V806" s="8">
        <f t="shared" si="163"/>
        <v>4.4725274725274726</v>
      </c>
      <c r="W806" s="8"/>
      <c r="X806" s="8"/>
      <c r="Y806" s="31">
        <f t="shared" si="160"/>
        <v>-0.61208488476321798</v>
      </c>
      <c r="Z806" s="31" t="str">
        <f t="shared" si="161"/>
        <v/>
      </c>
      <c r="AA806" s="31">
        <f t="shared" si="162"/>
        <v>-0.61208488476321798</v>
      </c>
    </row>
    <row r="807" spans="1:27" x14ac:dyDescent="0.25">
      <c r="A807" s="6" t="str">
        <f t="shared" si="156"/>
        <v>complete</v>
      </c>
      <c r="B807" s="6" t="s">
        <v>1196</v>
      </c>
      <c r="C807" s="6" t="str">
        <f t="shared" si="157"/>
        <v>HC49 900</v>
      </c>
      <c r="D807" s="6" t="s">
        <v>715</v>
      </c>
      <c r="E807" s="20">
        <v>900</v>
      </c>
      <c r="F807" s="6" t="s">
        <v>180</v>
      </c>
      <c r="G807" s="6" t="s">
        <v>716</v>
      </c>
      <c r="H807" s="6" t="s">
        <v>977</v>
      </c>
      <c r="I807" s="6" t="s">
        <v>20</v>
      </c>
      <c r="J807" s="29">
        <v>11.913</v>
      </c>
      <c r="K807" s="8">
        <f t="shared" si="158"/>
        <v>1.0760211417835455</v>
      </c>
      <c r="L807" s="8">
        <f t="shared" si="159"/>
        <v>7.0828004268053153</v>
      </c>
      <c r="M807" s="8"/>
      <c r="N807" s="8"/>
      <c r="O807" s="8">
        <v>1.278</v>
      </c>
      <c r="P807" s="8">
        <f>0.585+0.128+1.951+0.348+0.447</f>
        <v>3.4590000000000001</v>
      </c>
      <c r="Q807" s="8">
        <v>0.96299999999999997</v>
      </c>
      <c r="R807" s="8">
        <f>0.635+1.155+0.439</f>
        <v>2.2290000000000001</v>
      </c>
      <c r="S807" s="8">
        <v>1.8819999999999999</v>
      </c>
      <c r="T807" s="8">
        <f>0.617+1.996+1.238</f>
        <v>3.851</v>
      </c>
      <c r="U807" s="8"/>
      <c r="V807" s="8">
        <f t="shared" si="163"/>
        <v>2.7065727699530515</v>
      </c>
      <c r="W807" s="8">
        <f>R807/Q807</f>
        <v>2.314641744548287</v>
      </c>
      <c r="X807" s="8">
        <f>T807/S807</f>
        <v>2.0462274176408077</v>
      </c>
      <c r="Y807" s="31">
        <f t="shared" si="160"/>
        <v>-0.3721409941852491</v>
      </c>
      <c r="Z807" s="31" t="str">
        <f t="shared" si="161"/>
        <v/>
      </c>
      <c r="AA807" s="31">
        <f t="shared" si="162"/>
        <v>-0.3721409941852491</v>
      </c>
    </row>
    <row r="808" spans="1:27" x14ac:dyDescent="0.25">
      <c r="A808" s="6" t="str">
        <f t="shared" si="156"/>
        <v>fragment</v>
      </c>
      <c r="B808" s="6" t="s">
        <v>1196</v>
      </c>
      <c r="C808" s="6" t="str">
        <f t="shared" si="157"/>
        <v>HC49 900</v>
      </c>
      <c r="D808" s="6" t="s">
        <v>715</v>
      </c>
      <c r="E808" s="20">
        <v>900</v>
      </c>
      <c r="F808" s="6" t="s">
        <v>180</v>
      </c>
      <c r="G808" s="6" t="s">
        <v>717</v>
      </c>
      <c r="H808" s="6" t="s">
        <v>977</v>
      </c>
      <c r="I808" s="6" t="s">
        <v>20</v>
      </c>
      <c r="J808" s="29"/>
      <c r="K808" s="8" t="str">
        <f t="shared" si="158"/>
        <v/>
      </c>
      <c r="L808" s="8" t="str">
        <f t="shared" si="159"/>
        <v/>
      </c>
      <c r="M808" s="8"/>
      <c r="N808" s="8"/>
      <c r="O808" s="8">
        <v>1.5089999999999999</v>
      </c>
      <c r="P808" s="8">
        <f>0.786+1.52+0.773</f>
        <v>3.0790000000000002</v>
      </c>
      <c r="Q808" s="8"/>
      <c r="R808" s="8"/>
      <c r="S808" s="8">
        <v>2.09</v>
      </c>
      <c r="T808" s="8">
        <f>0.613+0.934+1.543+0.788</f>
        <v>3.8780000000000001</v>
      </c>
      <c r="U808" s="8"/>
      <c r="V808" s="8">
        <f t="shared" si="163"/>
        <v>2.0404241219350565</v>
      </c>
      <c r="W808" s="8"/>
      <c r="X808" s="8">
        <f>T808/S808</f>
        <v>1.8555023923444978</v>
      </c>
      <c r="Y808" s="31">
        <f t="shared" si="160"/>
        <v>-0.28958076087322437</v>
      </c>
      <c r="Z808" s="31">
        <f t="shared" si="161"/>
        <v>-0.28958076087322437</v>
      </c>
      <c r="AA808" s="31" t="str">
        <f t="shared" si="162"/>
        <v/>
      </c>
    </row>
    <row r="809" spans="1:27" x14ac:dyDescent="0.25">
      <c r="A809" s="6" t="str">
        <f t="shared" si="156"/>
        <v>complete</v>
      </c>
      <c r="B809" s="6" t="s">
        <v>1196</v>
      </c>
      <c r="C809" s="6" t="str">
        <f t="shared" si="157"/>
        <v>HC49 900</v>
      </c>
      <c r="D809" s="6" t="s">
        <v>715</v>
      </c>
      <c r="E809" s="20">
        <v>900</v>
      </c>
      <c r="F809" s="6" t="s">
        <v>180</v>
      </c>
      <c r="G809" s="6" t="s">
        <v>718</v>
      </c>
      <c r="H809" s="6" t="s">
        <v>977</v>
      </c>
      <c r="I809" s="6" t="s">
        <v>20</v>
      </c>
      <c r="J809" s="29">
        <v>19.524000000000001</v>
      </c>
      <c r="K809" s="8">
        <f t="shared" si="158"/>
        <v>1.2905687989844836</v>
      </c>
      <c r="L809" s="8">
        <f t="shared" si="159"/>
        <v>7.5768146640129928</v>
      </c>
      <c r="M809" s="8"/>
      <c r="N809" s="8"/>
      <c r="O809" s="8">
        <v>2.5139999999999998</v>
      </c>
      <c r="P809" s="8">
        <f>1.079+2.028+1.86</f>
        <v>4.9670000000000005</v>
      </c>
      <c r="Q809" s="8"/>
      <c r="R809" s="8"/>
      <c r="S809" s="8">
        <v>3.5619999999999998</v>
      </c>
      <c r="T809" s="8">
        <f>0.436+2.806+2.803</f>
        <v>6.0449999999999999</v>
      </c>
      <c r="U809" s="8"/>
      <c r="V809" s="8">
        <f t="shared" si="163"/>
        <v>1.9757358790771682</v>
      </c>
      <c r="W809" s="8"/>
      <c r="X809" s="8">
        <f>T809/S809</f>
        <v>1.697080291970803</v>
      </c>
      <c r="Y809" s="31">
        <f t="shared" si="160"/>
        <v>-0.26396919625403537</v>
      </c>
      <c r="Z809" s="31" t="str">
        <f t="shared" si="161"/>
        <v/>
      </c>
      <c r="AA809" s="31">
        <f t="shared" si="162"/>
        <v>-0.26396919625403537</v>
      </c>
    </row>
    <row r="810" spans="1:27" x14ac:dyDescent="0.25">
      <c r="A810" s="6" t="str">
        <f t="shared" si="156"/>
        <v>fragment</v>
      </c>
      <c r="B810" s="6" t="s">
        <v>1196</v>
      </c>
      <c r="C810" s="6" t="str">
        <f t="shared" si="157"/>
        <v>HC49 908</v>
      </c>
      <c r="D810" s="22" t="s">
        <v>715</v>
      </c>
      <c r="E810" s="22">
        <v>908</v>
      </c>
      <c r="F810" s="22"/>
      <c r="G810" s="22" t="s">
        <v>1077</v>
      </c>
      <c r="H810" s="22" t="s">
        <v>974</v>
      </c>
      <c r="I810" s="6" t="s">
        <v>20</v>
      </c>
      <c r="J810" s="30"/>
      <c r="K810" s="8" t="str">
        <f t="shared" si="158"/>
        <v/>
      </c>
      <c r="L810" s="8" t="str">
        <f t="shared" si="159"/>
        <v/>
      </c>
      <c r="M810" s="23"/>
      <c r="N810" s="23"/>
      <c r="O810" s="25">
        <v>1.784</v>
      </c>
      <c r="P810" s="25">
        <f>1.021+1.329+0.899</f>
        <v>3.2489999999999997</v>
      </c>
      <c r="Q810" s="23">
        <v>1.8740000000000001</v>
      </c>
      <c r="R810" s="23">
        <f>0.384+1.252+1.143+0.855</f>
        <v>3.6339999999999999</v>
      </c>
      <c r="S810" s="8"/>
      <c r="T810" s="8"/>
      <c r="U810" s="8"/>
      <c r="V810" s="8">
        <v>1.8211883408071747</v>
      </c>
      <c r="W810" s="8">
        <v>1.9391675560298824</v>
      </c>
      <c r="X810" s="8"/>
      <c r="Y810" s="31">
        <f t="shared" si="160"/>
        <v>-0.27419895477376377</v>
      </c>
      <c r="Z810" s="31">
        <f t="shared" si="161"/>
        <v>-0.27419895477376377</v>
      </c>
      <c r="AA810" s="31" t="str">
        <f t="shared" si="162"/>
        <v/>
      </c>
    </row>
    <row r="811" spans="1:27" x14ac:dyDescent="0.25">
      <c r="A811" s="6" t="str">
        <f t="shared" si="156"/>
        <v>complete</v>
      </c>
      <c r="B811" s="6" t="s">
        <v>765</v>
      </c>
      <c r="C811" s="6" t="str">
        <f t="shared" si="157"/>
        <v>HC57 1489</v>
      </c>
      <c r="D811" s="6" t="s">
        <v>750</v>
      </c>
      <c r="E811" s="20">
        <v>1489</v>
      </c>
      <c r="F811" s="6" t="s">
        <v>90</v>
      </c>
      <c r="G811" s="6" t="s">
        <v>778</v>
      </c>
      <c r="H811" s="6" t="s">
        <v>977</v>
      </c>
      <c r="I811" s="6" t="s">
        <v>5</v>
      </c>
      <c r="J811" s="29">
        <v>13.233000000000001</v>
      </c>
      <c r="K811" s="8">
        <f t="shared" si="158"/>
        <v>1.1216583124980699</v>
      </c>
      <c r="L811" s="8">
        <f t="shared" si="159"/>
        <v>7.1878838957790041</v>
      </c>
      <c r="M811" s="8">
        <v>7.0839999999999996</v>
      </c>
      <c r="N811" s="8">
        <f>2.633+3.288</f>
        <v>5.9209999999999994</v>
      </c>
      <c r="O811" s="8">
        <v>5.1379999999999999</v>
      </c>
      <c r="P811" s="8">
        <f>2.03+2.007</f>
        <v>4.0369999999999999</v>
      </c>
      <c r="Q811" s="8"/>
      <c r="R811" s="8"/>
      <c r="S811" s="8"/>
      <c r="T811" s="8"/>
      <c r="U811" s="8">
        <f>N811/M811</f>
        <v>0.83582721626199885</v>
      </c>
      <c r="V811" s="8">
        <f>P811/O811</f>
        <v>0.7857142857142857</v>
      </c>
      <c r="W811" s="8"/>
      <c r="X811" s="8"/>
      <c r="Y811" s="31">
        <f t="shared" si="160"/>
        <v>9.1101927114668302E-2</v>
      </c>
      <c r="Z811" s="31" t="str">
        <f t="shared" si="161"/>
        <v/>
      </c>
      <c r="AA811" s="31">
        <f t="shared" si="162"/>
        <v>9.1101927114668302E-2</v>
      </c>
    </row>
    <row r="812" spans="1:27" x14ac:dyDescent="0.25">
      <c r="A812" s="6" t="str">
        <f t="shared" si="156"/>
        <v>complete</v>
      </c>
      <c r="B812" s="6" t="s">
        <v>765</v>
      </c>
      <c r="C812" s="6" t="str">
        <f t="shared" si="157"/>
        <v>HC57 2099</v>
      </c>
      <c r="D812" s="6" t="s">
        <v>750</v>
      </c>
      <c r="E812" s="20">
        <v>2099</v>
      </c>
      <c r="G812" s="6" t="s">
        <v>782</v>
      </c>
      <c r="H812" s="6" t="s">
        <v>977</v>
      </c>
      <c r="I812" s="8" t="s">
        <v>5</v>
      </c>
      <c r="J812" s="29">
        <v>44.908000000000001</v>
      </c>
      <c r="K812" s="8">
        <f t="shared" si="158"/>
        <v>1.6523237139737583</v>
      </c>
      <c r="L812" s="8">
        <f t="shared" si="159"/>
        <v>8.4097861385846251</v>
      </c>
      <c r="M812" s="8"/>
      <c r="N812" s="8"/>
      <c r="O812" s="8">
        <v>1.675</v>
      </c>
      <c r="P812" s="8">
        <f>0.598+0.801+0.77+0.8</f>
        <v>2.9690000000000003</v>
      </c>
      <c r="Q812" s="8"/>
      <c r="R812" s="8"/>
      <c r="S812" s="8">
        <v>1.7210000000000001</v>
      </c>
      <c r="T812" s="8">
        <f>0.559+1.198+1.209</f>
        <v>2.9660000000000002</v>
      </c>
      <c r="U812" s="8"/>
      <c r="V812" s="8">
        <f>P812/O812</f>
        <v>1.7725373134328359</v>
      </c>
      <c r="W812" s="8"/>
      <c r="X812" s="8">
        <f>T812/S812</f>
        <v>1.7234166182452062</v>
      </c>
      <c r="Y812" s="31">
        <f t="shared" si="160"/>
        <v>-0.24253570537222871</v>
      </c>
      <c r="Z812" s="31" t="str">
        <f t="shared" si="161"/>
        <v/>
      </c>
      <c r="AA812" s="31">
        <f t="shared" si="162"/>
        <v>-0.24253570537222871</v>
      </c>
    </row>
    <row r="813" spans="1:27" x14ac:dyDescent="0.25">
      <c r="A813" s="6" t="str">
        <f t="shared" si="156"/>
        <v>complete</v>
      </c>
      <c r="B813" s="6" t="s">
        <v>765</v>
      </c>
      <c r="C813" s="6" t="str">
        <f t="shared" si="157"/>
        <v>HC57 431</v>
      </c>
      <c r="D813" s="6" t="s">
        <v>750</v>
      </c>
      <c r="E813" s="20">
        <v>431</v>
      </c>
      <c r="G813" s="6" t="s">
        <v>784</v>
      </c>
      <c r="H813" s="6" t="s">
        <v>977</v>
      </c>
      <c r="I813" s="8" t="s">
        <v>5</v>
      </c>
      <c r="J813" s="29">
        <v>24.690999999999999</v>
      </c>
      <c r="K813" s="8">
        <f t="shared" si="158"/>
        <v>1.3925386794696881</v>
      </c>
      <c r="L813" s="8">
        <f t="shared" si="159"/>
        <v>7.8116089907526085</v>
      </c>
      <c r="M813" s="8">
        <v>1.0069999999999999</v>
      </c>
      <c r="N813" s="8">
        <f>0.378+0.997+0.232+0.797+0.55+0.144</f>
        <v>3.0979999999999999</v>
      </c>
      <c r="O813" s="8"/>
      <c r="P813" s="8"/>
      <c r="Q813" s="8"/>
      <c r="R813" s="8"/>
      <c r="S813" s="8">
        <v>1.5149999999999999</v>
      </c>
      <c r="T813" s="8">
        <f>0.455+1.179+0.915+0.969+0.751</f>
        <v>4.2690000000000001</v>
      </c>
      <c r="U813" s="8">
        <f>N813/M813</f>
        <v>3.0764647467725919</v>
      </c>
      <c r="V813" s="8"/>
      <c r="W813" s="8"/>
      <c r="X813" s="8">
        <f>T813/S813</f>
        <v>2.8178217821782181</v>
      </c>
      <c r="Y813" s="31">
        <f t="shared" si="160"/>
        <v>-0.46940124798389998</v>
      </c>
      <c r="Z813" s="31" t="str">
        <f t="shared" si="161"/>
        <v/>
      </c>
      <c r="AA813" s="31">
        <f t="shared" si="162"/>
        <v>-0.46940124798389998</v>
      </c>
    </row>
    <row r="814" spans="1:27" x14ac:dyDescent="0.25">
      <c r="A814" s="6" t="str">
        <f t="shared" si="156"/>
        <v>complete</v>
      </c>
      <c r="B814" s="6" t="s">
        <v>765</v>
      </c>
      <c r="C814" s="6" t="str">
        <f t="shared" si="157"/>
        <v>HC57 431</v>
      </c>
      <c r="D814" s="6" t="s">
        <v>750</v>
      </c>
      <c r="E814" s="20">
        <v>431</v>
      </c>
      <c r="G814" s="6" t="s">
        <v>785</v>
      </c>
      <c r="H814" s="6" t="s">
        <v>977</v>
      </c>
      <c r="I814" s="8" t="s">
        <v>5</v>
      </c>
      <c r="J814" s="29">
        <v>21.742000000000001</v>
      </c>
      <c r="K814" s="8">
        <f t="shared" si="158"/>
        <v>1.3372994914067966</v>
      </c>
      <c r="L814" s="8">
        <f t="shared" si="159"/>
        <v>7.6844160597698998</v>
      </c>
      <c r="M814" s="8"/>
      <c r="N814" s="8"/>
      <c r="O814" s="8">
        <v>0.35099999999999998</v>
      </c>
      <c r="P814" s="8">
        <f>0.329+0.354+0.332+0.17</f>
        <v>1.1850000000000001</v>
      </c>
      <c r="Q814" s="8"/>
      <c r="R814" s="8"/>
      <c r="S814" s="8">
        <v>2.1539999999999999</v>
      </c>
      <c r="T814" s="8">
        <f>1.693+1.403+0.858+1.585+0.677</f>
        <v>6.2159999999999993</v>
      </c>
      <c r="U814" s="8"/>
      <c r="V814" s="8">
        <f>P814/O814</f>
        <v>3.3760683760683765</v>
      </c>
      <c r="W814" s="8"/>
      <c r="X814" s="8">
        <f>T814/S814</f>
        <v>2.8857938718662952</v>
      </c>
      <c r="Y814" s="31">
        <f t="shared" si="160"/>
        <v>-0.49567351386094749</v>
      </c>
      <c r="Z814" s="31" t="str">
        <f t="shared" si="161"/>
        <v/>
      </c>
      <c r="AA814" s="31">
        <f t="shared" si="162"/>
        <v>-0.49567351386094749</v>
      </c>
    </row>
    <row r="815" spans="1:27" x14ac:dyDescent="0.25">
      <c r="A815" s="6" t="str">
        <f t="shared" si="156"/>
        <v>complete</v>
      </c>
      <c r="B815" s="6" t="s">
        <v>765</v>
      </c>
      <c r="C815" s="6" t="str">
        <f t="shared" si="157"/>
        <v>HC57 431</v>
      </c>
      <c r="D815" s="6" t="s">
        <v>750</v>
      </c>
      <c r="E815" s="20">
        <v>431</v>
      </c>
      <c r="G815" s="6" t="s">
        <v>786</v>
      </c>
      <c r="H815" s="6" t="s">
        <v>977</v>
      </c>
      <c r="I815" s="8" t="s">
        <v>5</v>
      </c>
      <c r="J815" s="29">
        <v>18.844999999999999</v>
      </c>
      <c r="K815" s="8">
        <f t="shared" si="158"/>
        <v>1.2751961417856237</v>
      </c>
      <c r="L815" s="8">
        <f t="shared" si="159"/>
        <v>7.5414178127071905</v>
      </c>
      <c r="M815" s="8"/>
      <c r="N815" s="8"/>
      <c r="O815" s="8"/>
      <c r="P815" s="8"/>
      <c r="Q815" s="8"/>
      <c r="R815" s="8"/>
      <c r="S815" s="8">
        <v>2.3540000000000001</v>
      </c>
      <c r="T815" s="8">
        <f>1.58+1.479+1.396+1.032+0.269</f>
        <v>5.7560000000000002</v>
      </c>
      <c r="U815" s="8"/>
      <c r="V815" s="8"/>
      <c r="W815" s="8"/>
      <c r="X815" s="8">
        <f>T815/S815</f>
        <v>2.4451996601529311</v>
      </c>
      <c r="Y815" s="31">
        <f t="shared" si="160"/>
        <v>-0.38831432675715172</v>
      </c>
      <c r="Z815" s="31" t="str">
        <f t="shared" si="161"/>
        <v/>
      </c>
      <c r="AA815" s="31">
        <f t="shared" si="162"/>
        <v>-0.38831432675715172</v>
      </c>
    </row>
    <row r="816" spans="1:27" x14ac:dyDescent="0.25">
      <c r="A816" s="6" t="str">
        <f t="shared" si="156"/>
        <v>complete</v>
      </c>
      <c r="B816" s="6" t="s">
        <v>765</v>
      </c>
      <c r="C816" s="6" t="str">
        <f t="shared" si="157"/>
        <v>HC57 568</v>
      </c>
      <c r="D816" s="6" t="s">
        <v>750</v>
      </c>
      <c r="E816" s="20">
        <v>568</v>
      </c>
      <c r="G816" s="6" t="s">
        <v>783</v>
      </c>
      <c r="H816" s="6" t="s">
        <v>979</v>
      </c>
      <c r="I816" s="8" t="s">
        <v>5</v>
      </c>
      <c r="J816" s="29">
        <v>39.900309999999998</v>
      </c>
      <c r="K816" s="8">
        <f t="shared" si="158"/>
        <v>1.6009762698914196</v>
      </c>
      <c r="L816" s="8">
        <f t="shared" si="159"/>
        <v>8.2915542792772854</v>
      </c>
      <c r="M816" s="8">
        <v>1.0880000000000001</v>
      </c>
      <c r="N816" s="8">
        <f>0.973+0.803</f>
        <v>1.776</v>
      </c>
      <c r="O816" s="8">
        <v>2.625</v>
      </c>
      <c r="P816" s="8">
        <f>1.551+1.46</f>
        <v>3.0110000000000001</v>
      </c>
      <c r="Q816" s="8"/>
      <c r="R816" s="8"/>
      <c r="S816" s="8"/>
      <c r="T816" s="8"/>
      <c r="U816" s="8">
        <f>N816/M816</f>
        <v>1.6323529411764706</v>
      </c>
      <c r="V816" s="8">
        <f>P816/O816</f>
        <v>1.1470476190476191</v>
      </c>
      <c r="W816" s="8"/>
      <c r="X816" s="8"/>
      <c r="Y816" s="31">
        <f t="shared" si="160"/>
        <v>-0.14292114505328707</v>
      </c>
      <c r="Z816" s="31" t="str">
        <f t="shared" si="161"/>
        <v/>
      </c>
      <c r="AA816" s="31">
        <f t="shared" si="162"/>
        <v>-0.14292114505328707</v>
      </c>
    </row>
    <row r="817" spans="1:27" x14ac:dyDescent="0.25">
      <c r="A817" s="6" t="str">
        <f t="shared" si="156"/>
        <v>complete</v>
      </c>
      <c r="B817" s="6" t="s">
        <v>765</v>
      </c>
      <c r="C817" s="6" t="str">
        <f t="shared" si="157"/>
        <v>HC57 571</v>
      </c>
      <c r="D817" s="6" t="s">
        <v>750</v>
      </c>
      <c r="E817" s="20">
        <v>571</v>
      </c>
      <c r="F817" s="6" t="s">
        <v>545</v>
      </c>
      <c r="G817" s="6" t="s">
        <v>751</v>
      </c>
      <c r="H817" s="6" t="s">
        <v>977</v>
      </c>
      <c r="I817" s="6" t="s">
        <v>5</v>
      </c>
      <c r="J817" s="29">
        <v>48.401000000000003</v>
      </c>
      <c r="K817" s="8">
        <f t="shared" si="158"/>
        <v>1.6848543345782028</v>
      </c>
      <c r="L817" s="8">
        <f t="shared" si="159"/>
        <v>8.4846906606542642</v>
      </c>
      <c r="M817" s="8">
        <v>0.58399999999999996</v>
      </c>
      <c r="N817" s="8">
        <f>0.45+0.455+0.455</f>
        <v>1.36</v>
      </c>
      <c r="O817" s="8">
        <v>0.68899999999999995</v>
      </c>
      <c r="P817" s="8">
        <f>0.54+0.515+0.505</f>
        <v>1.56</v>
      </c>
      <c r="Q817" s="8"/>
      <c r="R817" s="8"/>
      <c r="S817" s="8">
        <v>4.3959999999999999</v>
      </c>
      <c r="T817" s="8">
        <f>0.994+1.553+2.173+0.962</f>
        <v>5.6819999999999995</v>
      </c>
      <c r="U817" s="8">
        <f>N817/M817</f>
        <v>2.3287671232876717</v>
      </c>
      <c r="V817" s="8">
        <f>P817/O817</f>
        <v>2.2641509433962268</v>
      </c>
      <c r="W817" s="8"/>
      <c r="X817" s="8">
        <f t="shared" ref="X817:X823" si="164">T817/S817</f>
        <v>1.2925386715195633</v>
      </c>
      <c r="Y817" s="31">
        <f t="shared" si="160"/>
        <v>-0.29265891699410934</v>
      </c>
      <c r="Z817" s="31" t="str">
        <f t="shared" si="161"/>
        <v/>
      </c>
      <c r="AA817" s="31">
        <f t="shared" si="162"/>
        <v>-0.29265891699410934</v>
      </c>
    </row>
    <row r="818" spans="1:27" x14ac:dyDescent="0.25">
      <c r="A818" s="6" t="str">
        <f t="shared" si="156"/>
        <v>fragment</v>
      </c>
      <c r="B818" s="6" t="s">
        <v>765</v>
      </c>
      <c r="C818" s="6" t="str">
        <f t="shared" si="157"/>
        <v>HC57 571</v>
      </c>
      <c r="D818" s="6" t="s">
        <v>750</v>
      </c>
      <c r="E818" s="20">
        <v>571</v>
      </c>
      <c r="F818" s="6" t="s">
        <v>545</v>
      </c>
      <c r="G818" s="6" t="s">
        <v>752</v>
      </c>
      <c r="H818" s="6" t="s">
        <v>977</v>
      </c>
      <c r="I818" s="6" t="s">
        <v>5</v>
      </c>
      <c r="J818" s="29"/>
      <c r="K818" s="8" t="str">
        <f t="shared" si="158"/>
        <v/>
      </c>
      <c r="L818" s="8" t="str">
        <f t="shared" si="159"/>
        <v/>
      </c>
      <c r="M818" s="8"/>
      <c r="N818" s="8"/>
      <c r="O818" s="8"/>
      <c r="P818" s="8"/>
      <c r="Q818" s="8"/>
      <c r="R818" s="8"/>
      <c r="S818" s="8">
        <v>6.4450000000000003</v>
      </c>
      <c r="T818" s="8">
        <f>1.228+2.991+2.546+0.939</f>
        <v>7.7040000000000006</v>
      </c>
      <c r="U818" s="8"/>
      <c r="V818" s="8"/>
      <c r="W818" s="8"/>
      <c r="X818" s="8">
        <f t="shared" si="164"/>
        <v>1.1953452288595812</v>
      </c>
      <c r="Y818" s="31">
        <f t="shared" si="160"/>
        <v>-7.7493352427056308E-2</v>
      </c>
      <c r="Z818" s="31">
        <f t="shared" si="161"/>
        <v>-7.7493352427056308E-2</v>
      </c>
      <c r="AA818" s="31" t="str">
        <f t="shared" si="162"/>
        <v/>
      </c>
    </row>
    <row r="819" spans="1:27" x14ac:dyDescent="0.25">
      <c r="A819" s="6" t="str">
        <f t="shared" si="156"/>
        <v>fragment</v>
      </c>
      <c r="B819" s="6" t="s">
        <v>765</v>
      </c>
      <c r="C819" s="6" t="str">
        <f t="shared" si="157"/>
        <v>HC57 571</v>
      </c>
      <c r="D819" s="6" t="s">
        <v>750</v>
      </c>
      <c r="E819" s="20">
        <v>571</v>
      </c>
      <c r="F819" s="6" t="s">
        <v>545</v>
      </c>
      <c r="G819" s="6" t="s">
        <v>753</v>
      </c>
      <c r="H819" s="6" t="s">
        <v>977</v>
      </c>
      <c r="I819" s="6" t="s">
        <v>5</v>
      </c>
      <c r="J819" s="29"/>
      <c r="K819" s="8" t="str">
        <f t="shared" si="158"/>
        <v/>
      </c>
      <c r="L819" s="8" t="str">
        <f t="shared" si="159"/>
        <v/>
      </c>
      <c r="M819" s="8"/>
      <c r="N819" s="8"/>
      <c r="O819" s="8"/>
      <c r="P819" s="8"/>
      <c r="Q819" s="8">
        <v>0.83799999999999997</v>
      </c>
      <c r="R819" s="8">
        <f>0.607+0.604</f>
        <v>1.2109999999999999</v>
      </c>
      <c r="S819" s="8">
        <v>2.08</v>
      </c>
      <c r="T819" s="8">
        <f>0.938+1.33+0.574</f>
        <v>2.8419999999999996</v>
      </c>
      <c r="U819" s="8"/>
      <c r="V819" s="8"/>
      <c r="W819" s="8">
        <f>R819/Q819</f>
        <v>1.445107398568019</v>
      </c>
      <c r="X819" s="8">
        <f t="shared" si="164"/>
        <v>1.3663461538461537</v>
      </c>
      <c r="Y819" s="31">
        <f t="shared" si="160"/>
        <v>-0.14790091732927954</v>
      </c>
      <c r="Z819" s="31">
        <f t="shared" si="161"/>
        <v>-0.14790091732927954</v>
      </c>
      <c r="AA819" s="31" t="str">
        <f t="shared" si="162"/>
        <v/>
      </c>
    </row>
    <row r="820" spans="1:27" x14ac:dyDescent="0.25">
      <c r="A820" s="6" t="str">
        <f t="shared" si="156"/>
        <v>fragment</v>
      </c>
      <c r="B820" s="6" t="s">
        <v>765</v>
      </c>
      <c r="C820" s="6" t="str">
        <f t="shared" si="157"/>
        <v>HC57 571</v>
      </c>
      <c r="D820" s="6" t="s">
        <v>750</v>
      </c>
      <c r="E820" s="20">
        <v>571</v>
      </c>
      <c r="F820" s="6" t="s">
        <v>545</v>
      </c>
      <c r="G820" s="6" t="s">
        <v>754</v>
      </c>
      <c r="H820" s="6" t="s">
        <v>977</v>
      </c>
      <c r="I820" s="6" t="s">
        <v>5</v>
      </c>
      <c r="J820" s="29"/>
      <c r="K820" s="8" t="str">
        <f t="shared" si="158"/>
        <v/>
      </c>
      <c r="L820" s="8" t="str">
        <f t="shared" si="159"/>
        <v/>
      </c>
      <c r="M820" s="8"/>
      <c r="N820" s="8"/>
      <c r="O820" s="8">
        <v>2.5499999999999998</v>
      </c>
      <c r="P820" s="8">
        <f>1.74+1.632</f>
        <v>3.3719999999999999</v>
      </c>
      <c r="Q820" s="8"/>
      <c r="R820" s="8"/>
      <c r="S820" s="8">
        <v>6.01</v>
      </c>
      <c r="T820" s="8">
        <f>1.41+3.263+3.141</f>
        <v>7.8140000000000001</v>
      </c>
      <c r="U820" s="8"/>
      <c r="V820" s="8">
        <f>P820/O820</f>
        <v>1.3223529411764707</v>
      </c>
      <c r="W820" s="8"/>
      <c r="X820" s="8">
        <f t="shared" si="164"/>
        <v>1.3001663893510815</v>
      </c>
      <c r="Y820" s="31">
        <f t="shared" si="160"/>
        <v>-0.11768870238769932</v>
      </c>
      <c r="Z820" s="31">
        <f t="shared" si="161"/>
        <v>-0.11768870238769932</v>
      </c>
      <c r="AA820" s="31" t="str">
        <f t="shared" si="162"/>
        <v/>
      </c>
    </row>
    <row r="821" spans="1:27" x14ac:dyDescent="0.25">
      <c r="A821" s="6" t="str">
        <f t="shared" si="156"/>
        <v>fragment</v>
      </c>
      <c r="B821" s="6" t="s">
        <v>765</v>
      </c>
      <c r="C821" s="6" t="str">
        <f t="shared" si="157"/>
        <v>HC57 571</v>
      </c>
      <c r="D821" s="6" t="s">
        <v>750</v>
      </c>
      <c r="E821" s="20">
        <v>571</v>
      </c>
      <c r="F821" s="6" t="s">
        <v>545</v>
      </c>
      <c r="G821" s="6" t="s">
        <v>755</v>
      </c>
      <c r="H821" s="6" t="s">
        <v>977</v>
      </c>
      <c r="I821" s="6" t="s">
        <v>5</v>
      </c>
      <c r="J821" s="29"/>
      <c r="K821" s="8" t="str">
        <f t="shared" si="158"/>
        <v/>
      </c>
      <c r="L821" s="8" t="str">
        <f t="shared" si="159"/>
        <v/>
      </c>
      <c r="M821" s="8"/>
      <c r="N821" s="8"/>
      <c r="O821" s="8"/>
      <c r="P821" s="8"/>
      <c r="Q821" s="8"/>
      <c r="R821" s="8"/>
      <c r="S821" s="8">
        <v>4.9080000000000004</v>
      </c>
      <c r="T821" s="8">
        <f>0.526+2.795+2.663+0.949</f>
        <v>6.9329999999999998</v>
      </c>
      <c r="U821" s="8"/>
      <c r="V821" s="8"/>
      <c r="W821" s="8"/>
      <c r="X821" s="8">
        <f t="shared" si="164"/>
        <v>1.4125916870415647</v>
      </c>
      <c r="Y821" s="31">
        <f t="shared" si="160"/>
        <v>-0.15001664614380505</v>
      </c>
      <c r="Z821" s="31">
        <f t="shared" si="161"/>
        <v>-0.15001664614380505</v>
      </c>
      <c r="AA821" s="31" t="str">
        <f t="shared" si="162"/>
        <v/>
      </c>
    </row>
    <row r="822" spans="1:27" x14ac:dyDescent="0.25">
      <c r="A822" s="6" t="str">
        <f t="shared" si="156"/>
        <v>fragment</v>
      </c>
      <c r="B822" s="6" t="s">
        <v>765</v>
      </c>
      <c r="C822" s="6" t="str">
        <f t="shared" si="157"/>
        <v>HC57 571</v>
      </c>
      <c r="D822" s="6" t="s">
        <v>750</v>
      </c>
      <c r="E822" s="20">
        <v>571</v>
      </c>
      <c r="F822" s="6" t="s">
        <v>545</v>
      </c>
      <c r="G822" s="6" t="s">
        <v>756</v>
      </c>
      <c r="H822" s="6" t="s">
        <v>977</v>
      </c>
      <c r="I822" s="6" t="s">
        <v>5</v>
      </c>
      <c r="J822" s="29"/>
      <c r="K822" s="8" t="str">
        <f t="shared" si="158"/>
        <v/>
      </c>
      <c r="L822" s="8" t="str">
        <f t="shared" si="159"/>
        <v/>
      </c>
      <c r="M822" s="8"/>
      <c r="N822" s="8"/>
      <c r="O822" s="8"/>
      <c r="P822" s="8"/>
      <c r="Q822" s="8"/>
      <c r="R822" s="8"/>
      <c r="S822" s="8">
        <v>1.5369999999999999</v>
      </c>
      <c r="T822" s="8">
        <f>0.417+1.192+1.355+0.702</f>
        <v>3.6659999999999999</v>
      </c>
      <c r="U822" s="8"/>
      <c r="V822" s="8"/>
      <c r="W822" s="8"/>
      <c r="X822" s="8">
        <f t="shared" si="164"/>
        <v>2.3851659076122318</v>
      </c>
      <c r="Y822" s="31">
        <f t="shared" si="160"/>
        <v>-0.37751859312645275</v>
      </c>
      <c r="Z822" s="31">
        <f t="shared" si="161"/>
        <v>-0.37751859312645275</v>
      </c>
      <c r="AA822" s="31" t="str">
        <f t="shared" si="162"/>
        <v/>
      </c>
    </row>
    <row r="823" spans="1:27" x14ac:dyDescent="0.25">
      <c r="A823" s="6" t="str">
        <f t="shared" si="156"/>
        <v>fragment</v>
      </c>
      <c r="B823" s="6" t="s">
        <v>765</v>
      </c>
      <c r="C823" s="6" t="str">
        <f t="shared" si="157"/>
        <v>HC57 571</v>
      </c>
      <c r="D823" s="6" t="s">
        <v>750</v>
      </c>
      <c r="E823" s="20">
        <v>571</v>
      </c>
      <c r="F823" s="6" t="s">
        <v>545</v>
      </c>
      <c r="G823" s="6" t="s">
        <v>757</v>
      </c>
      <c r="H823" s="6" t="s">
        <v>977</v>
      </c>
      <c r="I823" s="6" t="s">
        <v>5</v>
      </c>
      <c r="J823" s="29"/>
      <c r="K823" s="8" t="str">
        <f t="shared" si="158"/>
        <v/>
      </c>
      <c r="L823" s="8" t="str">
        <f t="shared" si="159"/>
        <v/>
      </c>
      <c r="M823" s="8"/>
      <c r="N823" s="8"/>
      <c r="O823" s="8">
        <v>0.57099999999999995</v>
      </c>
      <c r="P823" s="8">
        <f>0.178+0.537+0.544+0.366</f>
        <v>1.625</v>
      </c>
      <c r="Q823" s="8"/>
      <c r="R823" s="8"/>
      <c r="S823" s="8">
        <v>0.91500000000000004</v>
      </c>
      <c r="T823" s="8">
        <f>1.282+0.567</f>
        <v>1.849</v>
      </c>
      <c r="U823" s="8"/>
      <c r="V823" s="8">
        <f t="shared" ref="V823:V837" si="165">P823/O823</f>
        <v>2.8458844133099825</v>
      </c>
      <c r="W823" s="8"/>
      <c r="X823" s="8">
        <f t="shared" si="164"/>
        <v>2.0207650273224043</v>
      </c>
      <c r="Y823" s="31">
        <f t="shared" si="160"/>
        <v>-0.38620006817102503</v>
      </c>
      <c r="Z823" s="31">
        <f t="shared" si="161"/>
        <v>-0.38620006817102503</v>
      </c>
      <c r="AA823" s="31" t="str">
        <f t="shared" si="162"/>
        <v/>
      </c>
    </row>
    <row r="824" spans="1:27" x14ac:dyDescent="0.25">
      <c r="A824" s="6" t="str">
        <f t="shared" si="156"/>
        <v>complete</v>
      </c>
      <c r="B824" s="6" t="s">
        <v>765</v>
      </c>
      <c r="C824" s="6" t="str">
        <f t="shared" si="157"/>
        <v>HC57 571</v>
      </c>
      <c r="D824" s="6" t="s">
        <v>750</v>
      </c>
      <c r="E824" s="20">
        <v>571</v>
      </c>
      <c r="F824" s="6" t="s">
        <v>545</v>
      </c>
      <c r="G824" s="6" t="s">
        <v>758</v>
      </c>
      <c r="H824" s="6" t="s">
        <v>977</v>
      </c>
      <c r="I824" s="6" t="s">
        <v>5</v>
      </c>
      <c r="J824" s="29">
        <f>38.851*2</f>
        <v>77.701999999999998</v>
      </c>
      <c r="K824" s="8">
        <f t="shared" si="158"/>
        <v>1.890432197408189</v>
      </c>
      <c r="L824" s="8">
        <f t="shared" si="159"/>
        <v>8.9580511830561651</v>
      </c>
      <c r="M824" s="8">
        <v>2.7770000000000001</v>
      </c>
      <c r="N824" s="8">
        <f>0.938+1.617+1.536</f>
        <v>4.0909999999999993</v>
      </c>
      <c r="O824" s="8">
        <v>2.9590000000000001</v>
      </c>
      <c r="P824" s="8">
        <f>0.807+1.283+1.158+0.667</f>
        <v>3.915</v>
      </c>
      <c r="Q824" s="8"/>
      <c r="R824" s="8"/>
      <c r="S824" s="8"/>
      <c r="T824" s="8"/>
      <c r="U824" s="8">
        <f>N824/M824</f>
        <v>1.4731724882967228</v>
      </c>
      <c r="V824" s="8">
        <f t="shared" si="165"/>
        <v>1.323082122338628</v>
      </c>
      <c r="W824" s="8"/>
      <c r="X824" s="8"/>
      <c r="Y824" s="31">
        <f t="shared" si="160"/>
        <v>-0.14554671753255644</v>
      </c>
      <c r="Z824" s="31" t="str">
        <f t="shared" si="161"/>
        <v/>
      </c>
      <c r="AA824" s="31">
        <f t="shared" si="162"/>
        <v>-0.14554671753255644</v>
      </c>
    </row>
    <row r="825" spans="1:27" x14ac:dyDescent="0.25">
      <c r="A825" s="6" t="str">
        <f t="shared" si="156"/>
        <v>complete</v>
      </c>
      <c r="B825" s="6" t="s">
        <v>765</v>
      </c>
      <c r="C825" s="6" t="str">
        <f t="shared" si="157"/>
        <v>HC57 571</v>
      </c>
      <c r="D825" s="6" t="s">
        <v>750</v>
      </c>
      <c r="E825" s="20">
        <v>571</v>
      </c>
      <c r="F825" s="6" t="s">
        <v>545</v>
      </c>
      <c r="G825" s="6" t="s">
        <v>759</v>
      </c>
      <c r="H825" s="6" t="s">
        <v>977</v>
      </c>
      <c r="I825" s="6" t="s">
        <v>5</v>
      </c>
      <c r="J825" s="29">
        <f>12.641*2</f>
        <v>25.282</v>
      </c>
      <c r="K825" s="8">
        <f t="shared" si="158"/>
        <v>1.4028114269919485</v>
      </c>
      <c r="L825" s="8">
        <f t="shared" si="159"/>
        <v>7.8352628660614574</v>
      </c>
      <c r="M825" s="8">
        <v>0.96599999999999997</v>
      </c>
      <c r="N825" s="8">
        <f>0.715+1.597</f>
        <v>2.3119999999999998</v>
      </c>
      <c r="O825" s="8">
        <v>0.505</v>
      </c>
      <c r="P825" s="8">
        <f>0.394+0.488+0.471</f>
        <v>1.353</v>
      </c>
      <c r="Q825" s="8"/>
      <c r="R825" s="8"/>
      <c r="S825" s="8">
        <v>2.1070000000000002</v>
      </c>
      <c r="T825" s="8">
        <f>1.276+1.544+1.162</f>
        <v>3.9820000000000002</v>
      </c>
      <c r="U825" s="8">
        <f>N825/M825</f>
        <v>2.3933747412008279</v>
      </c>
      <c r="V825" s="8">
        <f t="shared" si="165"/>
        <v>2.6792079207920794</v>
      </c>
      <c r="W825" s="8"/>
      <c r="X825" s="8">
        <f>T825/S825</f>
        <v>1.889890840056953</v>
      </c>
      <c r="Y825" s="31">
        <f t="shared" si="160"/>
        <v>-0.36564230061681935</v>
      </c>
      <c r="Z825" s="31" t="str">
        <f t="shared" si="161"/>
        <v/>
      </c>
      <c r="AA825" s="31">
        <f t="shared" si="162"/>
        <v>-0.36564230061681935</v>
      </c>
    </row>
    <row r="826" spans="1:27" x14ac:dyDescent="0.25">
      <c r="A826" s="6" t="str">
        <f t="shared" si="156"/>
        <v>fragment</v>
      </c>
      <c r="B826" s="6" t="s">
        <v>765</v>
      </c>
      <c r="C826" s="6" t="str">
        <f t="shared" si="157"/>
        <v>HC57 571</v>
      </c>
      <c r="D826" s="6" t="s">
        <v>750</v>
      </c>
      <c r="E826" s="20">
        <v>571</v>
      </c>
      <c r="F826" s="6" t="s">
        <v>545</v>
      </c>
      <c r="G826" s="6" t="s">
        <v>760</v>
      </c>
      <c r="H826" s="6" t="s">
        <v>977</v>
      </c>
      <c r="I826" s="6" t="s">
        <v>5</v>
      </c>
      <c r="J826" s="29"/>
      <c r="K826" s="8" t="str">
        <f t="shared" si="158"/>
        <v/>
      </c>
      <c r="L826" s="8" t="str">
        <f t="shared" si="159"/>
        <v/>
      </c>
      <c r="M826" s="8"/>
      <c r="N826" s="8"/>
      <c r="O826" s="8">
        <v>1.2609999999999999</v>
      </c>
      <c r="P826" s="8">
        <f>0.722+0.781+0.667+0.425</f>
        <v>2.5949999999999998</v>
      </c>
      <c r="Q826" s="8">
        <v>0.96499999999999997</v>
      </c>
      <c r="R826" s="8">
        <f>0.643+0.674+0.653</f>
        <v>1.9700000000000002</v>
      </c>
      <c r="S826" s="8">
        <v>1.488</v>
      </c>
      <c r="T826" s="8">
        <f>1.247+1.375+0.442</f>
        <v>3.0640000000000001</v>
      </c>
      <c r="U826" s="8"/>
      <c r="V826" s="8">
        <f t="shared" si="165"/>
        <v>2.057890563045202</v>
      </c>
      <c r="W826" s="8">
        <f>R826/Q826</f>
        <v>2.0414507772020727</v>
      </c>
      <c r="X826" s="8">
        <f>T826/S826</f>
        <v>2.0591397849462365</v>
      </c>
      <c r="Y826" s="31">
        <f t="shared" si="160"/>
        <v>-0.31235235999601119</v>
      </c>
      <c r="Z826" s="31">
        <f t="shared" si="161"/>
        <v>-0.31235235999601119</v>
      </c>
      <c r="AA826" s="31" t="str">
        <f t="shared" si="162"/>
        <v/>
      </c>
    </row>
    <row r="827" spans="1:27" x14ac:dyDescent="0.25">
      <c r="A827" s="6" t="str">
        <f t="shared" si="156"/>
        <v>fragment</v>
      </c>
      <c r="B827" s="6" t="s">
        <v>765</v>
      </c>
      <c r="C827" s="6" t="str">
        <f t="shared" si="157"/>
        <v>HC57 571</v>
      </c>
      <c r="D827" s="6" t="s">
        <v>750</v>
      </c>
      <c r="E827" s="20">
        <v>571</v>
      </c>
      <c r="F827" s="6" t="s">
        <v>545</v>
      </c>
      <c r="G827" s="6" t="s">
        <v>761</v>
      </c>
      <c r="H827" s="6" t="s">
        <v>977</v>
      </c>
      <c r="I827" s="6" t="s">
        <v>5</v>
      </c>
      <c r="J827" s="29"/>
      <c r="K827" s="8" t="str">
        <f t="shared" si="158"/>
        <v/>
      </c>
      <c r="L827" s="8" t="str">
        <f t="shared" si="159"/>
        <v/>
      </c>
      <c r="M827" s="8"/>
      <c r="N827" s="8"/>
      <c r="O827" s="8">
        <v>2.323</v>
      </c>
      <c r="P827" s="8">
        <f>0.506+1.294+1.487+0.887</f>
        <v>4.1739999999999995</v>
      </c>
      <c r="Q827" s="8"/>
      <c r="R827" s="8"/>
      <c r="S827" s="8"/>
      <c r="T827" s="8"/>
      <c r="U827" s="8"/>
      <c r="V827" s="8">
        <f t="shared" si="165"/>
        <v>1.7968144640551009</v>
      </c>
      <c r="W827" s="8"/>
      <c r="X827" s="8"/>
      <c r="Y827" s="31">
        <f t="shared" si="160"/>
        <v>-0.25450323492919974</v>
      </c>
      <c r="Z827" s="31">
        <f t="shared" si="161"/>
        <v>-0.25450323492919974</v>
      </c>
      <c r="AA827" s="31" t="str">
        <f t="shared" si="162"/>
        <v/>
      </c>
    </row>
    <row r="828" spans="1:27" x14ac:dyDescent="0.25">
      <c r="A828" s="6" t="str">
        <f t="shared" si="156"/>
        <v>fragment</v>
      </c>
      <c r="B828" s="6" t="s">
        <v>765</v>
      </c>
      <c r="C828" s="6" t="str">
        <f t="shared" si="157"/>
        <v>HC57 571</v>
      </c>
      <c r="D828" s="6" t="s">
        <v>750</v>
      </c>
      <c r="E828" s="20">
        <v>571</v>
      </c>
      <c r="F828" s="6" t="s">
        <v>545</v>
      </c>
      <c r="G828" s="6" t="s">
        <v>762</v>
      </c>
      <c r="H828" s="6" t="s">
        <v>977</v>
      </c>
      <c r="I828" s="6" t="s">
        <v>5</v>
      </c>
      <c r="J828" s="29"/>
      <c r="K828" s="8" t="str">
        <f t="shared" si="158"/>
        <v/>
      </c>
      <c r="L828" s="8" t="str">
        <f t="shared" si="159"/>
        <v/>
      </c>
      <c r="M828" s="8"/>
      <c r="N828" s="8"/>
      <c r="O828" s="8">
        <v>1.3009999999999999</v>
      </c>
      <c r="P828" s="8">
        <f>0.834+0.757+0.713</f>
        <v>2.3039999999999998</v>
      </c>
      <c r="Q828" s="8">
        <v>0.86899999999999999</v>
      </c>
      <c r="R828" s="8">
        <f>0.401+0.535+0.539</f>
        <v>1.4750000000000001</v>
      </c>
      <c r="S828" s="8">
        <v>2.54</v>
      </c>
      <c r="T828" s="8">
        <f>1.09+1.289+0.822</f>
        <v>3.2010000000000001</v>
      </c>
      <c r="U828" s="8"/>
      <c r="V828" s="8">
        <f t="shared" si="165"/>
        <v>1.7709454265949269</v>
      </c>
      <c r="W828" s="8">
        <f>R828/Q828</f>
        <v>1.6973532796317607</v>
      </c>
      <c r="X828" s="8">
        <f>T828/S828</f>
        <v>1.2602362204724409</v>
      </c>
      <c r="Y828" s="31">
        <f t="shared" si="160"/>
        <v>-0.19760534652336023</v>
      </c>
      <c r="Z828" s="31">
        <f t="shared" si="161"/>
        <v>-0.19760534652336023</v>
      </c>
      <c r="AA828" s="31" t="str">
        <f t="shared" si="162"/>
        <v/>
      </c>
    </row>
    <row r="829" spans="1:27" x14ac:dyDescent="0.25">
      <c r="A829" s="6" t="str">
        <f t="shared" si="156"/>
        <v>fragment</v>
      </c>
      <c r="B829" s="6" t="s">
        <v>765</v>
      </c>
      <c r="C829" s="6" t="str">
        <f t="shared" si="157"/>
        <v>HC57 571</v>
      </c>
      <c r="D829" s="6" t="s">
        <v>750</v>
      </c>
      <c r="E829" s="20">
        <v>571</v>
      </c>
      <c r="F829" s="6" t="s">
        <v>545</v>
      </c>
      <c r="G829" s="6" t="s">
        <v>763</v>
      </c>
      <c r="H829" s="6" t="s">
        <v>977</v>
      </c>
      <c r="I829" s="6" t="s">
        <v>5</v>
      </c>
      <c r="J829" s="29"/>
      <c r="K829" s="8" t="str">
        <f t="shared" si="158"/>
        <v/>
      </c>
      <c r="L829" s="8" t="str">
        <f t="shared" si="159"/>
        <v/>
      </c>
      <c r="M829" s="8"/>
      <c r="N829" s="8"/>
      <c r="O829" s="8">
        <v>0.54700000000000004</v>
      </c>
      <c r="P829" s="8">
        <f>0.405+0.461+0.291</f>
        <v>1.157</v>
      </c>
      <c r="Q829" s="8"/>
      <c r="R829" s="8"/>
      <c r="S829" s="8">
        <v>3.4950000000000001</v>
      </c>
      <c r="T829" s="8">
        <f>0.831+2.304+2.033</f>
        <v>5.1679999999999993</v>
      </c>
      <c r="U829" s="8"/>
      <c r="V829" s="8">
        <f t="shared" si="165"/>
        <v>2.1151736745886653</v>
      </c>
      <c r="W829" s="8"/>
      <c r="X829" s="8">
        <f>T829/S829</f>
        <v>1.4786838340486406</v>
      </c>
      <c r="Y829" s="31">
        <f t="shared" si="160"/>
        <v>-0.25453085828890937</v>
      </c>
      <c r="Z829" s="31">
        <f t="shared" si="161"/>
        <v>-0.25453085828890937</v>
      </c>
      <c r="AA829" s="31" t="str">
        <f t="shared" si="162"/>
        <v/>
      </c>
    </row>
    <row r="830" spans="1:27" x14ac:dyDescent="0.25">
      <c r="A830" s="6" t="str">
        <f t="shared" si="156"/>
        <v>fragment</v>
      </c>
      <c r="B830" s="6" t="s">
        <v>765</v>
      </c>
      <c r="C830" s="6" t="str">
        <f t="shared" si="157"/>
        <v>HC57 571</v>
      </c>
      <c r="D830" s="6" t="s">
        <v>750</v>
      </c>
      <c r="E830" s="20">
        <v>571</v>
      </c>
      <c r="F830" s="6" t="s">
        <v>545</v>
      </c>
      <c r="G830" s="6" t="s">
        <v>764</v>
      </c>
      <c r="H830" s="6" t="s">
        <v>977</v>
      </c>
      <c r="I830" s="6" t="s">
        <v>5</v>
      </c>
      <c r="J830" s="29"/>
      <c r="K830" s="8" t="str">
        <f t="shared" si="158"/>
        <v/>
      </c>
      <c r="L830" s="8" t="str">
        <f t="shared" si="159"/>
        <v/>
      </c>
      <c r="M830" s="8">
        <v>1.381</v>
      </c>
      <c r="N830" s="8">
        <f>0.857+0.905+0.761</f>
        <v>2.5230000000000001</v>
      </c>
      <c r="O830" s="8">
        <v>3.7</v>
      </c>
      <c r="P830" s="8">
        <f>0.893+1.906+1.819+1.042</f>
        <v>5.66</v>
      </c>
      <c r="Q830" s="8"/>
      <c r="R830" s="8"/>
      <c r="S830" s="8"/>
      <c r="T830" s="8"/>
      <c r="U830" s="8">
        <f t="shared" ref="U830:U837" si="166">N830/M830</f>
        <v>1.826937002172339</v>
      </c>
      <c r="V830" s="8">
        <f t="shared" si="165"/>
        <v>1.5297297297297296</v>
      </c>
      <c r="W830" s="8"/>
      <c r="X830" s="8"/>
      <c r="Y830" s="31">
        <f t="shared" si="160"/>
        <v>-0.22487822861030446</v>
      </c>
      <c r="Z830" s="31">
        <f t="shared" si="161"/>
        <v>-0.22487822861030446</v>
      </c>
      <c r="AA830" s="31" t="str">
        <f t="shared" si="162"/>
        <v/>
      </c>
    </row>
    <row r="831" spans="1:27" x14ac:dyDescent="0.25">
      <c r="A831" s="6" t="str">
        <f t="shared" si="156"/>
        <v>complete</v>
      </c>
      <c r="B831" s="6" t="s">
        <v>765</v>
      </c>
      <c r="C831" s="6" t="str">
        <f t="shared" si="157"/>
        <v>HC57 571</v>
      </c>
      <c r="D831" s="6" t="s">
        <v>750</v>
      </c>
      <c r="E831" s="20">
        <v>571</v>
      </c>
      <c r="F831" s="6" t="s">
        <v>545</v>
      </c>
      <c r="G831" s="6" t="s">
        <v>766</v>
      </c>
      <c r="H831" s="6" t="s">
        <v>977</v>
      </c>
      <c r="I831" s="8" t="s">
        <v>5</v>
      </c>
      <c r="J831" s="29">
        <v>58.892000000000003</v>
      </c>
      <c r="K831" s="8">
        <f t="shared" si="158"/>
        <v>1.7700563034148427</v>
      </c>
      <c r="L831" s="8">
        <f t="shared" si="159"/>
        <v>8.680875443991253</v>
      </c>
      <c r="M831" s="8">
        <v>2.0339999999999998</v>
      </c>
      <c r="N831" s="8">
        <f>1.358+0.859</f>
        <v>2.2170000000000001</v>
      </c>
      <c r="O831" s="8">
        <v>1.2749999999999999</v>
      </c>
      <c r="P831" s="8">
        <f>0.396+0.685+0.685+0.711</f>
        <v>2.4769999999999999</v>
      </c>
      <c r="Q831" s="8">
        <v>1.0069999999999999</v>
      </c>
      <c r="R831" s="8">
        <f>0.647+0.622+0.603</f>
        <v>1.8720000000000001</v>
      </c>
      <c r="S831" s="8">
        <v>2.6309999999999998</v>
      </c>
      <c r="T831" s="8">
        <f>1.179+1.393+1.342</f>
        <v>3.9140000000000001</v>
      </c>
      <c r="U831" s="8">
        <f t="shared" si="166"/>
        <v>1.0899705014749264</v>
      </c>
      <c r="V831" s="8">
        <f t="shared" si="165"/>
        <v>1.9427450980392158</v>
      </c>
      <c r="W831" s="8">
        <f>R831/Q831</f>
        <v>1.8589870903674284</v>
      </c>
      <c r="X831" s="8">
        <f>T831/S831</f>
        <v>1.4876472824021287</v>
      </c>
      <c r="Y831" s="31">
        <f t="shared" si="160"/>
        <v>-0.20271643694923039</v>
      </c>
      <c r="Z831" s="31" t="str">
        <f t="shared" si="161"/>
        <v/>
      </c>
      <c r="AA831" s="31">
        <f t="shared" si="162"/>
        <v>-0.20271643694923039</v>
      </c>
    </row>
    <row r="832" spans="1:27" x14ac:dyDescent="0.25">
      <c r="A832" s="6" t="str">
        <f t="shared" si="156"/>
        <v>complete</v>
      </c>
      <c r="B832" s="6" t="s">
        <v>765</v>
      </c>
      <c r="C832" s="6" t="str">
        <f t="shared" si="157"/>
        <v>HC57 571</v>
      </c>
      <c r="D832" s="6" t="s">
        <v>750</v>
      </c>
      <c r="E832" s="20">
        <v>571</v>
      </c>
      <c r="F832" s="6" t="s">
        <v>545</v>
      </c>
      <c r="G832" s="6" t="s">
        <v>769</v>
      </c>
      <c r="H832" s="6" t="s">
        <v>977</v>
      </c>
      <c r="I832" s="6" t="s">
        <v>5</v>
      </c>
      <c r="J832" s="29">
        <v>135.755</v>
      </c>
      <c r="K832" s="8">
        <f t="shared" si="158"/>
        <v>2.1327558340798181</v>
      </c>
      <c r="L832" s="8">
        <f t="shared" si="159"/>
        <v>9.5160219765363632</v>
      </c>
      <c r="M832" s="8">
        <v>5.3070000000000004</v>
      </c>
      <c r="N832" s="8">
        <f>2.119+0.665+2.115+1.449</f>
        <v>6.3480000000000008</v>
      </c>
      <c r="O832" s="8">
        <v>3.6190000000000002</v>
      </c>
      <c r="P832" s="8">
        <f>1.672+1.576+1.077</f>
        <v>4.3250000000000002</v>
      </c>
      <c r="Q832" s="8">
        <v>2.0510000000000002</v>
      </c>
      <c r="R832" s="8">
        <f>0.905+0.998+0.443</f>
        <v>2.3460000000000001</v>
      </c>
      <c r="S832" s="8">
        <v>10.757999999999999</v>
      </c>
      <c r="T832" s="8">
        <f>3.248+3.629+3.436+0.978</f>
        <v>11.291</v>
      </c>
      <c r="U832" s="8">
        <f t="shared" si="166"/>
        <v>1.1961560203504806</v>
      </c>
      <c r="V832" s="8">
        <f t="shared" si="165"/>
        <v>1.1950815142304503</v>
      </c>
      <c r="W832" s="8">
        <f>R832/Q832</f>
        <v>1.1438322769380789</v>
      </c>
      <c r="X832" s="8">
        <f>T832/S832</f>
        <v>1.0495445250046478</v>
      </c>
      <c r="Y832" s="31">
        <f t="shared" si="160"/>
        <v>-5.9242816821098769E-2</v>
      </c>
      <c r="Z832" s="31" t="str">
        <f t="shared" si="161"/>
        <v/>
      </c>
      <c r="AA832" s="31">
        <f t="shared" si="162"/>
        <v>-5.9242816821098769E-2</v>
      </c>
    </row>
    <row r="833" spans="1:27" x14ac:dyDescent="0.25">
      <c r="A833" s="6" t="str">
        <f t="shared" si="156"/>
        <v>complete</v>
      </c>
      <c r="B833" s="6" t="s">
        <v>765</v>
      </c>
      <c r="C833" s="6" t="str">
        <f t="shared" si="157"/>
        <v>HC57 571</v>
      </c>
      <c r="D833" s="6" t="s">
        <v>750</v>
      </c>
      <c r="E833" s="20">
        <v>571</v>
      </c>
      <c r="F833" s="6" t="s">
        <v>545</v>
      </c>
      <c r="G833" s="6" t="s">
        <v>770</v>
      </c>
      <c r="H833" s="6" t="s">
        <v>977</v>
      </c>
      <c r="I833" s="6" t="s">
        <v>5</v>
      </c>
      <c r="J833" s="29">
        <f>31.883*2</f>
        <v>63.765999999999998</v>
      </c>
      <c r="K833" s="8">
        <f t="shared" si="158"/>
        <v>1.8045891748293046</v>
      </c>
      <c r="L833" s="8">
        <f t="shared" si="159"/>
        <v>8.760390318928474</v>
      </c>
      <c r="M833" s="8">
        <v>3.202</v>
      </c>
      <c r="N833" s="8">
        <f>0.535+1.775+2.458+1.195</f>
        <v>5.963000000000001</v>
      </c>
      <c r="O833" s="8">
        <v>0.89900000000000002</v>
      </c>
      <c r="P833" s="8">
        <f>0.576+0.559+0.563</f>
        <v>1.698</v>
      </c>
      <c r="Q833" s="8"/>
      <c r="R833" s="8"/>
      <c r="S833" s="8">
        <v>4.2649999999999997</v>
      </c>
      <c r="T833" s="8">
        <f>1.119+2.226+2.49+1.711+0.62</f>
        <v>8.1660000000000004</v>
      </c>
      <c r="U833" s="8">
        <f t="shared" si="166"/>
        <v>1.8622735790131171</v>
      </c>
      <c r="V833" s="8">
        <f t="shared" si="165"/>
        <v>1.8887652947719689</v>
      </c>
      <c r="W833" s="8"/>
      <c r="X833" s="8">
        <f>T833/S833</f>
        <v>1.9146541617819464</v>
      </c>
      <c r="Y833" s="31">
        <f t="shared" si="160"/>
        <v>-0.2761317862429542</v>
      </c>
      <c r="Z833" s="31" t="str">
        <f t="shared" si="161"/>
        <v/>
      </c>
      <c r="AA833" s="31">
        <f t="shared" si="162"/>
        <v>-0.2761317862429542</v>
      </c>
    </row>
    <row r="834" spans="1:27" x14ac:dyDescent="0.25">
      <c r="A834" s="6" t="str">
        <f t="shared" ref="A834:A897" si="167">IF(J834&gt;0,"complete","fragment")</f>
        <v>complete</v>
      </c>
      <c r="B834" s="6" t="s">
        <v>765</v>
      </c>
      <c r="C834" s="6" t="str">
        <f t="shared" ref="C834:C897" si="168">D834&amp;" "&amp;E834</f>
        <v>HC57 571</v>
      </c>
      <c r="D834" s="6" t="s">
        <v>750</v>
      </c>
      <c r="E834" s="20">
        <v>571</v>
      </c>
      <c r="F834" s="6" t="s">
        <v>545</v>
      </c>
      <c r="G834" s="6" t="s">
        <v>771</v>
      </c>
      <c r="H834" s="6" t="s">
        <v>977</v>
      </c>
      <c r="I834" s="6" t="s">
        <v>5</v>
      </c>
      <c r="J834" s="29">
        <v>92.316999999999993</v>
      </c>
      <c r="K834" s="8">
        <f t="shared" ref="K834:K897" si="169">IF(J834&gt;0,LOG(J834),"")</f>
        <v>1.9652816828933806</v>
      </c>
      <c r="L834" s="8">
        <f t="shared" ref="L834:L897" si="170">IF(J834&gt;0,LN(J834*100),"")</f>
        <v>9.13039849255264</v>
      </c>
      <c r="M834" s="8">
        <v>4.2290000000000001</v>
      </c>
      <c r="N834" s="8">
        <f>1.033+3.554+1.108</f>
        <v>5.6950000000000003</v>
      </c>
      <c r="O834" s="8">
        <v>2.2109999999999999</v>
      </c>
      <c r="P834" s="8">
        <f>0.855+1.146+0.942</f>
        <v>2.9429999999999996</v>
      </c>
      <c r="Q834" s="8">
        <v>0.95699999999999996</v>
      </c>
      <c r="R834" s="8">
        <f>0.672+0.71</f>
        <v>1.3820000000000001</v>
      </c>
      <c r="S834" s="8">
        <v>2.2109999999999999</v>
      </c>
      <c r="T834" s="8">
        <f>0.855+1.146+0.942</f>
        <v>2.9429999999999996</v>
      </c>
      <c r="U834" s="8">
        <f t="shared" si="166"/>
        <v>1.3466540553322299</v>
      </c>
      <c r="V834" s="8">
        <f t="shared" si="165"/>
        <v>1.3310719131614652</v>
      </c>
      <c r="W834" s="8">
        <f>R834/Q834</f>
        <v>1.4440961337513063</v>
      </c>
      <c r="X834" s="8">
        <f>T834/S834</f>
        <v>1.3310719131614652</v>
      </c>
      <c r="Y834" s="31">
        <f t="shared" ref="Y834:Y897" si="171">IF(COUNT(U834:X834)&gt;0,LOG(1/AVERAGE(U834:X834)),"")</f>
        <v>-0.13456706532246615</v>
      </c>
      <c r="Z834" s="31" t="str">
        <f t="shared" ref="Z834:Z897" si="172">IF(A834="fragment",IF(ISNUMBER(Y834)=TRUE,Y834,""),"")</f>
        <v/>
      </c>
      <c r="AA834" s="31">
        <f t="shared" ref="AA834:AA897" si="173">IF(A834="complete",IF(ISNUMBER(Y834)=TRUE,Y834,""),"")</f>
        <v>-0.13456706532246615</v>
      </c>
    </row>
    <row r="835" spans="1:27" x14ac:dyDescent="0.25">
      <c r="A835" s="6" t="str">
        <f t="shared" si="167"/>
        <v>complete</v>
      </c>
      <c r="B835" s="6" t="s">
        <v>765</v>
      </c>
      <c r="C835" s="6" t="str">
        <f t="shared" si="168"/>
        <v>HC57 571</v>
      </c>
      <c r="D835" s="6" t="s">
        <v>750</v>
      </c>
      <c r="E835" s="20">
        <v>571</v>
      </c>
      <c r="F835" s="6" t="s">
        <v>545</v>
      </c>
      <c r="G835" s="6" t="s">
        <v>774</v>
      </c>
      <c r="H835" s="6" t="s">
        <v>977</v>
      </c>
      <c r="I835" s="6" t="s">
        <v>5</v>
      </c>
      <c r="J835" s="29">
        <v>62.029000000000003</v>
      </c>
      <c r="K835" s="8">
        <f t="shared" si="169"/>
        <v>1.7925947797465782</v>
      </c>
      <c r="L835" s="8">
        <f t="shared" si="170"/>
        <v>8.732772203611507</v>
      </c>
      <c r="M835" s="8">
        <v>4.3780000000000001</v>
      </c>
      <c r="N835" s="8">
        <f>1.461+0.855+1.848+0.146+0.965</f>
        <v>5.2749999999999995</v>
      </c>
      <c r="O835" s="8">
        <v>1.5229999999999999</v>
      </c>
      <c r="P835" s="8">
        <f>0.788+0.646+0.757+0.985+0.626</f>
        <v>3.802</v>
      </c>
      <c r="Q835" s="8">
        <v>1.7250000000000001</v>
      </c>
      <c r="R835" s="8">
        <f>0.863+0.997+0.374+0.631</f>
        <v>2.8650000000000002</v>
      </c>
      <c r="S835" s="8"/>
      <c r="T835" s="8"/>
      <c r="U835" s="8">
        <f t="shared" si="166"/>
        <v>1.2048880767473731</v>
      </c>
      <c r="V835" s="8">
        <f t="shared" si="165"/>
        <v>2.4963887065003285</v>
      </c>
      <c r="W835" s="8">
        <f>R835/Q835</f>
        <v>1.6608695652173913</v>
      </c>
      <c r="X835" s="8"/>
      <c r="Y835" s="31">
        <f t="shared" si="171"/>
        <v>-0.25221740824004274</v>
      </c>
      <c r="Z835" s="31" t="str">
        <f t="shared" si="172"/>
        <v/>
      </c>
      <c r="AA835" s="31">
        <f t="shared" si="173"/>
        <v>-0.25221740824004274</v>
      </c>
    </row>
    <row r="836" spans="1:27" x14ac:dyDescent="0.25">
      <c r="A836" s="6" t="str">
        <f t="shared" si="167"/>
        <v>complete</v>
      </c>
      <c r="B836" s="6" t="s">
        <v>765</v>
      </c>
      <c r="C836" s="6" t="str">
        <f t="shared" si="168"/>
        <v>HC57 571</v>
      </c>
      <c r="D836" s="6" t="s">
        <v>750</v>
      </c>
      <c r="E836" s="20">
        <v>571</v>
      </c>
      <c r="F836" s="6" t="s">
        <v>545</v>
      </c>
      <c r="G836" s="6" t="s">
        <v>776</v>
      </c>
      <c r="H836" s="6" t="s">
        <v>977</v>
      </c>
      <c r="I836" s="6" t="s">
        <v>5</v>
      </c>
      <c r="J836" s="29">
        <v>56.143999999999998</v>
      </c>
      <c r="K836" s="8">
        <f t="shared" si="169"/>
        <v>1.7493033508713309</v>
      </c>
      <c r="L836" s="8">
        <f t="shared" si="170"/>
        <v>8.6330900048289507</v>
      </c>
      <c r="M836" s="8">
        <v>0.65700000000000003</v>
      </c>
      <c r="N836" s="8">
        <f>0.465+0.518+0.499</f>
        <v>1.4820000000000002</v>
      </c>
      <c r="O836" s="8">
        <v>3.7149999999999999</v>
      </c>
      <c r="P836" s="8">
        <f>1.729+3.211+1.458</f>
        <v>6.3979999999999997</v>
      </c>
      <c r="Q836" s="8">
        <v>0.60199999999999998</v>
      </c>
      <c r="R836" s="8">
        <f>0.233+0.528+0.465+0.233</f>
        <v>1.4590000000000001</v>
      </c>
      <c r="S836" s="8"/>
      <c r="T836" s="8"/>
      <c r="U836" s="8">
        <f t="shared" si="166"/>
        <v>2.2557077625570781</v>
      </c>
      <c r="V836" s="8">
        <f t="shared" si="165"/>
        <v>1.7222072678331091</v>
      </c>
      <c r="W836" s="8">
        <f>R836/Q836</f>
        <v>2.4235880398671097</v>
      </c>
      <c r="X836" s="8"/>
      <c r="Y836" s="31">
        <f t="shared" si="171"/>
        <v>-0.32916070340125525</v>
      </c>
      <c r="Z836" s="31" t="str">
        <f t="shared" si="172"/>
        <v/>
      </c>
      <c r="AA836" s="31">
        <f t="shared" si="173"/>
        <v>-0.32916070340125525</v>
      </c>
    </row>
    <row r="837" spans="1:27" x14ac:dyDescent="0.25">
      <c r="A837" s="6" t="str">
        <f t="shared" si="167"/>
        <v>complete</v>
      </c>
      <c r="B837" s="6" t="s">
        <v>765</v>
      </c>
      <c r="C837" s="6" t="str">
        <f t="shared" si="168"/>
        <v>HC57 571</v>
      </c>
      <c r="D837" s="6" t="s">
        <v>750</v>
      </c>
      <c r="E837" s="20">
        <v>571</v>
      </c>
      <c r="F837" s="6" t="s">
        <v>545</v>
      </c>
      <c r="G837" s="6" t="s">
        <v>788</v>
      </c>
      <c r="H837" s="6" t="s">
        <v>977</v>
      </c>
      <c r="I837" s="8" t="s">
        <v>5</v>
      </c>
      <c r="J837" s="29">
        <v>66.846999999999994</v>
      </c>
      <c r="K837" s="8">
        <f t="shared" si="169"/>
        <v>1.8250819215055414</v>
      </c>
      <c r="L837" s="8">
        <f t="shared" si="170"/>
        <v>8.8075766119396803</v>
      </c>
      <c r="M837" s="8">
        <v>1.085</v>
      </c>
      <c r="N837" s="8">
        <f>0.667+0.571+0.617+0.661+0.314</f>
        <v>2.83</v>
      </c>
      <c r="O837" s="8">
        <v>2.0910000000000002</v>
      </c>
      <c r="P837" s="8">
        <f>1.237+1.539</f>
        <v>2.7759999999999998</v>
      </c>
      <c r="Q837" s="8"/>
      <c r="R837" s="8"/>
      <c r="S837" s="8"/>
      <c r="T837" s="8"/>
      <c r="U837" s="8">
        <f t="shared" si="166"/>
        <v>2.6082949308755761</v>
      </c>
      <c r="V837" s="8">
        <f t="shared" si="165"/>
        <v>1.3275944524151122</v>
      </c>
      <c r="W837" s="8"/>
      <c r="X837" s="8"/>
      <c r="Y837" s="31">
        <f t="shared" si="171"/>
        <v>-0.29401288858172259</v>
      </c>
      <c r="Z837" s="31" t="str">
        <f t="shared" si="172"/>
        <v/>
      </c>
      <c r="AA837" s="31">
        <f t="shared" si="173"/>
        <v>-0.29401288858172259</v>
      </c>
    </row>
    <row r="838" spans="1:27" x14ac:dyDescent="0.25">
      <c r="A838" s="6" t="str">
        <f t="shared" si="167"/>
        <v>complete</v>
      </c>
      <c r="B838" s="6" t="s">
        <v>765</v>
      </c>
      <c r="C838" s="6" t="str">
        <f t="shared" si="168"/>
        <v>HC57 572</v>
      </c>
      <c r="D838" s="6" t="s">
        <v>750</v>
      </c>
      <c r="E838" s="20">
        <v>572</v>
      </c>
      <c r="G838" s="6" t="s">
        <v>791</v>
      </c>
      <c r="H838" s="6" t="s">
        <v>977</v>
      </c>
      <c r="I838" s="8" t="s">
        <v>5</v>
      </c>
      <c r="J838" s="29">
        <v>42.658209999999997</v>
      </c>
      <c r="K838" s="8">
        <f t="shared" si="169"/>
        <v>1.6300026278730788</v>
      </c>
      <c r="L838" s="8">
        <f t="shared" si="170"/>
        <v>8.3583899384697631</v>
      </c>
      <c r="M838" s="8"/>
      <c r="N838" s="8"/>
      <c r="O838" s="8"/>
      <c r="P838" s="8"/>
      <c r="Q838" s="8"/>
      <c r="R838" s="8"/>
      <c r="S838" s="8">
        <v>2.0459999999999998</v>
      </c>
      <c r="T838" s="8">
        <f>1.026+1.167+0.991+0.518</f>
        <v>3.702</v>
      </c>
      <c r="U838" s="8"/>
      <c r="V838" s="8"/>
      <c r="W838" s="8"/>
      <c r="X838" s="8">
        <f>T838/S838</f>
        <v>1.8093841642228741</v>
      </c>
      <c r="Y838" s="31">
        <f t="shared" si="171"/>
        <v>-0.257530785040744</v>
      </c>
      <c r="Z838" s="31" t="str">
        <f t="shared" si="172"/>
        <v/>
      </c>
      <c r="AA838" s="31">
        <f t="shared" si="173"/>
        <v>-0.257530785040744</v>
      </c>
    </row>
    <row r="839" spans="1:27" x14ac:dyDescent="0.25">
      <c r="A839" s="6" t="str">
        <f t="shared" si="167"/>
        <v>complete</v>
      </c>
      <c r="B839" s="6" t="s">
        <v>765</v>
      </c>
      <c r="C839" s="6" t="str">
        <f t="shared" si="168"/>
        <v>HC57 572</v>
      </c>
      <c r="D839" s="6" t="s">
        <v>750</v>
      </c>
      <c r="E839" s="20">
        <v>572</v>
      </c>
      <c r="G839" s="6" t="s">
        <v>794</v>
      </c>
      <c r="H839" s="6" t="s">
        <v>977</v>
      </c>
      <c r="I839" s="8" t="s">
        <v>5</v>
      </c>
      <c r="J839" s="29">
        <v>45.574399999999997</v>
      </c>
      <c r="K839" s="8">
        <f t="shared" si="169"/>
        <v>1.6587209597536861</v>
      </c>
      <c r="L839" s="8">
        <f t="shared" si="170"/>
        <v>8.424516341353705</v>
      </c>
      <c r="M839" s="8">
        <v>1.212</v>
      </c>
      <c r="N839" s="8">
        <f>0.618+0.635+0.562+0.64</f>
        <v>2.4550000000000001</v>
      </c>
      <c r="O839" s="8">
        <v>2.0499999999999998</v>
      </c>
      <c r="P839" s="8">
        <f>0.566+0.937+1.019+0.706</f>
        <v>3.2280000000000002</v>
      </c>
      <c r="Q839" s="8"/>
      <c r="R839" s="8"/>
      <c r="S839" s="8"/>
      <c r="T839" s="8"/>
      <c r="U839" s="8">
        <f>N839/M839</f>
        <v>2.0255775577557755</v>
      </c>
      <c r="V839" s="8">
        <f>P839/O839</f>
        <v>1.5746341463414637</v>
      </c>
      <c r="W839" s="8"/>
      <c r="X839" s="8"/>
      <c r="Y839" s="31">
        <f t="shared" si="171"/>
        <v>-0.25529804377495419</v>
      </c>
      <c r="Z839" s="31" t="str">
        <f t="shared" si="172"/>
        <v/>
      </c>
      <c r="AA839" s="31">
        <f t="shared" si="173"/>
        <v>-0.25529804377495419</v>
      </c>
    </row>
    <row r="840" spans="1:27" x14ac:dyDescent="0.25">
      <c r="A840" s="6" t="str">
        <f t="shared" si="167"/>
        <v>complete</v>
      </c>
      <c r="B840" s="6" t="s">
        <v>765</v>
      </c>
      <c r="C840" s="6" t="str">
        <f t="shared" si="168"/>
        <v>HC57 897</v>
      </c>
      <c r="D840" s="6" t="s">
        <v>750</v>
      </c>
      <c r="E840" s="20">
        <v>897</v>
      </c>
      <c r="G840" s="6" t="s">
        <v>780</v>
      </c>
      <c r="H840" s="6" t="s">
        <v>977</v>
      </c>
      <c r="I840" s="8" t="s">
        <v>5</v>
      </c>
      <c r="J840" s="29">
        <f>2*23.56</f>
        <v>47.12</v>
      </c>
      <c r="K840" s="8">
        <f t="shared" si="169"/>
        <v>1.6732052817790453</v>
      </c>
      <c r="L840" s="8">
        <f t="shared" si="170"/>
        <v>8.4578677253314218</v>
      </c>
      <c r="M840" s="8"/>
      <c r="N840" s="8"/>
      <c r="O840" s="8">
        <v>1.649</v>
      </c>
      <c r="P840" s="8">
        <f>1.677+1.05</f>
        <v>2.7270000000000003</v>
      </c>
      <c r="Q840" s="8">
        <v>1.2729999999999999</v>
      </c>
      <c r="R840" s="8">
        <f>0.717+0.721+0.724+0.579</f>
        <v>2.7409999999999997</v>
      </c>
      <c r="S840" s="8"/>
      <c r="T840" s="8"/>
      <c r="U840" s="8"/>
      <c r="V840" s="8">
        <f>P840/O840</f>
        <v>1.6537295330503337</v>
      </c>
      <c r="W840" s="8">
        <f>R840/Q840</f>
        <v>2.1531814611154751</v>
      </c>
      <c r="X840" s="8"/>
      <c r="Y840" s="31">
        <f t="shared" si="171"/>
        <v>-0.27954272743498848</v>
      </c>
      <c r="Z840" s="31" t="str">
        <f t="shared" si="172"/>
        <v/>
      </c>
      <c r="AA840" s="31">
        <f t="shared" si="173"/>
        <v>-0.27954272743498848</v>
      </c>
    </row>
    <row r="841" spans="1:27" x14ac:dyDescent="0.25">
      <c r="A841" s="6" t="str">
        <f t="shared" si="167"/>
        <v>complete</v>
      </c>
      <c r="B841" s="6" t="s">
        <v>765</v>
      </c>
      <c r="C841" s="6" t="str">
        <f t="shared" si="168"/>
        <v>HC57 900</v>
      </c>
      <c r="D841" s="6" t="s">
        <v>750</v>
      </c>
      <c r="E841" s="20">
        <v>900</v>
      </c>
      <c r="F841" s="6" t="s">
        <v>180</v>
      </c>
      <c r="G841" s="6" t="s">
        <v>787</v>
      </c>
      <c r="H841" s="6" t="s">
        <v>977</v>
      </c>
      <c r="I841" s="8" t="s">
        <v>5</v>
      </c>
      <c r="J841" s="29">
        <v>30.626999999999999</v>
      </c>
      <c r="K841" s="8">
        <f t="shared" si="169"/>
        <v>1.4861044585351342</v>
      </c>
      <c r="L841" s="8">
        <f t="shared" si="170"/>
        <v>8.0270521588430785</v>
      </c>
      <c r="M841" s="8"/>
      <c r="N841" s="8"/>
      <c r="O841" s="8">
        <v>0.60399999999999998</v>
      </c>
      <c r="P841" s="8">
        <f>0.538+0.482+0.465</f>
        <v>1.4850000000000001</v>
      </c>
      <c r="Q841" s="8"/>
      <c r="R841" s="8"/>
      <c r="S841" s="8">
        <v>1.6950000000000001</v>
      </c>
      <c r="T841" s="8">
        <f>0.971+1.528+0.758</f>
        <v>3.2570000000000001</v>
      </c>
      <c r="U841" s="8"/>
      <c r="V841" s="8">
        <f>P841/O841</f>
        <v>2.4586092715231791</v>
      </c>
      <c r="W841" s="8"/>
      <c r="X841" s="8">
        <f>T841/S841</f>
        <v>1.9215339233038349</v>
      </c>
      <c r="Y841" s="31">
        <f t="shared" si="171"/>
        <v>-0.34045831294666329</v>
      </c>
      <c r="Z841" s="31" t="str">
        <f t="shared" si="172"/>
        <v/>
      </c>
      <c r="AA841" s="31">
        <f t="shared" si="173"/>
        <v>-0.34045831294666329</v>
      </c>
    </row>
    <row r="842" spans="1:27" x14ac:dyDescent="0.25">
      <c r="A842" s="6" t="str">
        <f t="shared" si="167"/>
        <v>complete</v>
      </c>
      <c r="B842" s="6" t="s">
        <v>803</v>
      </c>
      <c r="C842" s="6" t="str">
        <f t="shared" si="168"/>
        <v>HC62 1489</v>
      </c>
      <c r="D842" s="6" t="s">
        <v>795</v>
      </c>
      <c r="E842" s="20">
        <v>1489</v>
      </c>
      <c r="F842" s="6" t="s">
        <v>90</v>
      </c>
      <c r="G842" s="6" t="s">
        <v>846</v>
      </c>
      <c r="H842" s="6" t="s">
        <v>977</v>
      </c>
      <c r="I842" s="6" t="s">
        <v>20</v>
      </c>
      <c r="J842" s="29">
        <v>11.218</v>
      </c>
      <c r="K842" s="8">
        <f t="shared" si="169"/>
        <v>1.0499154356734979</v>
      </c>
      <c r="L842" s="8">
        <f t="shared" si="170"/>
        <v>7.0226898170742365</v>
      </c>
      <c r="M842" s="8">
        <v>0.999</v>
      </c>
      <c r="N842" s="8">
        <v>2.5819999999999999</v>
      </c>
      <c r="O842" s="8">
        <v>1.071</v>
      </c>
      <c r="P842" s="8">
        <v>2.742</v>
      </c>
      <c r="Q842" s="8">
        <v>0.70300000000000007</v>
      </c>
      <c r="R842" s="8">
        <v>1.7930000000000001</v>
      </c>
      <c r="S842" s="8">
        <v>0.85</v>
      </c>
      <c r="T842" s="8">
        <v>2.0609999999999999</v>
      </c>
      <c r="U842" s="8">
        <f>(N842/M842)</f>
        <v>2.5845845845845843</v>
      </c>
      <c r="V842" s="8">
        <f>(P842/O842)</f>
        <v>2.5602240896358546</v>
      </c>
      <c r="W842" s="8">
        <f>(R842/Q842)</f>
        <v>2.5504978662873401</v>
      </c>
      <c r="X842" s="8">
        <f>(T842/S842)</f>
        <v>2.4247058823529413</v>
      </c>
      <c r="Y842" s="31">
        <f t="shared" si="171"/>
        <v>-0.40312105429603035</v>
      </c>
      <c r="Z842" s="31" t="str">
        <f t="shared" si="172"/>
        <v/>
      </c>
      <c r="AA842" s="31">
        <f t="shared" si="173"/>
        <v>-0.40312105429603035</v>
      </c>
    </row>
    <row r="843" spans="1:27" x14ac:dyDescent="0.25">
      <c r="A843" s="6" t="str">
        <f t="shared" si="167"/>
        <v>complete</v>
      </c>
      <c r="B843" s="6" t="s">
        <v>803</v>
      </c>
      <c r="C843" s="6" t="str">
        <f t="shared" si="168"/>
        <v>HC62 2088</v>
      </c>
      <c r="D843" s="22" t="s">
        <v>795</v>
      </c>
      <c r="E843" s="24">
        <v>2088</v>
      </c>
      <c r="F843" s="22"/>
      <c r="G843" s="22" t="s">
        <v>1078</v>
      </c>
      <c r="H843" s="22" t="s">
        <v>977</v>
      </c>
      <c r="I843" s="6" t="s">
        <v>20</v>
      </c>
      <c r="J843" s="30">
        <v>15.085000000000001</v>
      </c>
      <c r="K843" s="8">
        <f t="shared" si="169"/>
        <v>1.1785453145110072</v>
      </c>
      <c r="L843" s="8">
        <f t="shared" si="170"/>
        <v>7.3188710585991155</v>
      </c>
      <c r="M843" s="23">
        <v>0.748</v>
      </c>
      <c r="N843" s="23">
        <f>0.367+1.218+0.273</f>
        <v>1.8580000000000001</v>
      </c>
      <c r="O843" s="23">
        <v>1.371</v>
      </c>
      <c r="P843" s="23">
        <f>1.182+1.446+0.51</f>
        <v>3.1379999999999999</v>
      </c>
      <c r="Q843" s="23">
        <v>1.51</v>
      </c>
      <c r="R843" s="23">
        <f>0.519+1.402+1.304+0.283</f>
        <v>3.5079999999999996</v>
      </c>
      <c r="S843" s="8"/>
      <c r="T843" s="8"/>
      <c r="U843" s="8">
        <v>2.4839572192513368</v>
      </c>
      <c r="V843" s="8">
        <v>2.288840262582057</v>
      </c>
      <c r="W843" s="8">
        <v>2.3231788079470195</v>
      </c>
      <c r="X843" s="8"/>
      <c r="Y843" s="31">
        <f t="shared" si="171"/>
        <v>-0.37389090097171684</v>
      </c>
      <c r="Z843" s="31" t="str">
        <f t="shared" si="172"/>
        <v/>
      </c>
      <c r="AA843" s="31">
        <f t="shared" si="173"/>
        <v>-0.37389090097171684</v>
      </c>
    </row>
    <row r="844" spans="1:27" x14ac:dyDescent="0.25">
      <c r="A844" s="6" t="str">
        <f t="shared" si="167"/>
        <v>complete</v>
      </c>
      <c r="B844" s="6" t="s">
        <v>803</v>
      </c>
      <c r="C844" s="6" t="str">
        <f t="shared" si="168"/>
        <v>HC62 2088</v>
      </c>
      <c r="D844" s="22" t="s">
        <v>795</v>
      </c>
      <c r="E844" s="24">
        <v>2088</v>
      </c>
      <c r="F844" s="22"/>
      <c r="G844" s="22" t="s">
        <v>1079</v>
      </c>
      <c r="H844" s="22" t="s">
        <v>977</v>
      </c>
      <c r="I844" s="6" t="s">
        <v>20</v>
      </c>
      <c r="J844" s="30">
        <f>8.829*2</f>
        <v>17.658000000000001</v>
      </c>
      <c r="K844" s="8">
        <f t="shared" si="169"/>
        <v>1.2469415124832546</v>
      </c>
      <c r="L844" s="8">
        <f t="shared" si="170"/>
        <v>7.4763591244674821</v>
      </c>
      <c r="M844" s="23"/>
      <c r="N844" s="23"/>
      <c r="O844" s="23">
        <v>1.4970000000000001</v>
      </c>
      <c r="P844" s="23">
        <f>0.53+1.328+1.337+0.376</f>
        <v>3.5710000000000002</v>
      </c>
      <c r="Q844" s="23">
        <v>0.94899999999999995</v>
      </c>
      <c r="R844" s="23">
        <f>0.159+0.719+1.014+0.473</f>
        <v>2.3649999999999998</v>
      </c>
      <c r="S844" s="8"/>
      <c r="T844" s="8"/>
      <c r="U844" s="8"/>
      <c r="V844" s="8">
        <v>2.385437541750167</v>
      </c>
      <c r="W844" s="8">
        <v>2.4920969441517387</v>
      </c>
      <c r="X844" s="8"/>
      <c r="Y844" s="31">
        <f t="shared" si="171"/>
        <v>-0.38717035302973074</v>
      </c>
      <c r="Z844" s="31" t="str">
        <f t="shared" si="172"/>
        <v/>
      </c>
      <c r="AA844" s="31">
        <f t="shared" si="173"/>
        <v>-0.38717035302973074</v>
      </c>
    </row>
    <row r="845" spans="1:27" x14ac:dyDescent="0.25">
      <c r="A845" s="6" t="str">
        <f t="shared" si="167"/>
        <v>complete</v>
      </c>
      <c r="B845" s="6" t="s">
        <v>803</v>
      </c>
      <c r="C845" s="6" t="str">
        <f t="shared" si="168"/>
        <v>HC62 2088</v>
      </c>
      <c r="D845" s="22" t="s">
        <v>795</v>
      </c>
      <c r="E845" s="24">
        <v>2088</v>
      </c>
      <c r="F845" s="22"/>
      <c r="G845" s="22" t="s">
        <v>851</v>
      </c>
      <c r="H845" s="22" t="s">
        <v>977</v>
      </c>
      <c r="I845" s="6" t="s">
        <v>20</v>
      </c>
      <c r="J845" s="30">
        <v>20.898</v>
      </c>
      <c r="K845" s="8">
        <f t="shared" si="169"/>
        <v>1.3201047248418798</v>
      </c>
      <c r="L845" s="8">
        <f t="shared" si="170"/>
        <v>7.6448236466000106</v>
      </c>
      <c r="M845" s="23">
        <v>1.6040000000000001</v>
      </c>
      <c r="N845" s="23">
        <f>0.808+1.654+0.279</f>
        <v>2.7409999999999997</v>
      </c>
      <c r="O845" s="23">
        <v>1.587</v>
      </c>
      <c r="P845" s="23">
        <f>0.504+1.781+0.973</f>
        <v>3.258</v>
      </c>
      <c r="Q845" s="23">
        <v>1.044</v>
      </c>
      <c r="R845" s="23">
        <f>0.332+0.946+1.126+0.205</f>
        <v>2.609</v>
      </c>
      <c r="S845" s="8"/>
      <c r="T845" s="8"/>
      <c r="U845" s="8">
        <v>1.7088528678304236</v>
      </c>
      <c r="V845" s="8">
        <v>2.0529300567107751</v>
      </c>
      <c r="W845" s="8">
        <v>2.4990421455938696</v>
      </c>
      <c r="X845" s="8"/>
      <c r="Y845" s="31">
        <f t="shared" si="171"/>
        <v>-0.31951031487979992</v>
      </c>
      <c r="Z845" s="31" t="str">
        <f t="shared" si="172"/>
        <v/>
      </c>
      <c r="AA845" s="31">
        <f t="shared" si="173"/>
        <v>-0.31951031487979992</v>
      </c>
    </row>
    <row r="846" spans="1:27" x14ac:dyDescent="0.25">
      <c r="A846" s="6" t="str">
        <f t="shared" si="167"/>
        <v>complete</v>
      </c>
      <c r="B846" s="6" t="s">
        <v>803</v>
      </c>
      <c r="C846" s="6" t="str">
        <f t="shared" si="168"/>
        <v>HC62 2088</v>
      </c>
      <c r="D846" s="22" t="s">
        <v>795</v>
      </c>
      <c r="E846" s="24">
        <v>2088</v>
      </c>
      <c r="F846" s="22"/>
      <c r="G846" s="22" t="s">
        <v>1080</v>
      </c>
      <c r="H846" s="22" t="s">
        <v>977</v>
      </c>
      <c r="I846" s="6" t="s">
        <v>20</v>
      </c>
      <c r="J846" s="30">
        <v>14.98</v>
      </c>
      <c r="K846" s="8">
        <f t="shared" si="169"/>
        <v>1.1755118133634477</v>
      </c>
      <c r="L846" s="8">
        <f t="shared" si="170"/>
        <v>7.3118861640771646</v>
      </c>
      <c r="M846" s="23"/>
      <c r="N846" s="23"/>
      <c r="O846" s="23">
        <v>1.0649999999999999</v>
      </c>
      <c r="P846" s="23">
        <f>0.628+1.443+0.432</f>
        <v>2.5030000000000001</v>
      </c>
      <c r="Q846" s="23">
        <v>0.69599999999999995</v>
      </c>
      <c r="R846" s="23">
        <f>0.381+0.866+0.825</f>
        <v>2.0720000000000001</v>
      </c>
      <c r="S846" s="8"/>
      <c r="T846" s="8"/>
      <c r="U846" s="8"/>
      <c r="V846" s="8">
        <v>2.3502347417840377</v>
      </c>
      <c r="W846" s="8">
        <v>2.9770114942528738</v>
      </c>
      <c r="X846" s="8"/>
      <c r="Y846" s="31">
        <f t="shared" si="171"/>
        <v>-0.42547277554933943</v>
      </c>
      <c r="Z846" s="31" t="str">
        <f t="shared" si="172"/>
        <v/>
      </c>
      <c r="AA846" s="31">
        <f t="shared" si="173"/>
        <v>-0.42547277554933943</v>
      </c>
    </row>
    <row r="847" spans="1:27" x14ac:dyDescent="0.25">
      <c r="A847" s="6" t="str">
        <f t="shared" si="167"/>
        <v>fragment</v>
      </c>
      <c r="B847" s="6" t="s">
        <v>803</v>
      </c>
      <c r="C847" s="6" t="str">
        <f t="shared" si="168"/>
        <v>HC62 2088</v>
      </c>
      <c r="D847" s="22" t="s">
        <v>795</v>
      </c>
      <c r="E847" s="24">
        <v>2088</v>
      </c>
      <c r="F847" s="22"/>
      <c r="G847" s="22" t="s">
        <v>1081</v>
      </c>
      <c r="H847" s="22" t="s">
        <v>977</v>
      </c>
      <c r="I847" s="6" t="s">
        <v>20</v>
      </c>
      <c r="J847" s="30"/>
      <c r="K847" s="8" t="str">
        <f t="shared" si="169"/>
        <v/>
      </c>
      <c r="L847" s="8" t="str">
        <f t="shared" si="170"/>
        <v/>
      </c>
      <c r="M847" s="23">
        <v>0.66800000000000004</v>
      </c>
      <c r="N847" s="23">
        <f>0.18+0.599+1.008+0.754+0.188</f>
        <v>2.7290000000000001</v>
      </c>
      <c r="O847" s="23">
        <v>0.76900000000000002</v>
      </c>
      <c r="P847" s="23">
        <f>0.761+1.283+0.933+0.333</f>
        <v>3.3100000000000005</v>
      </c>
      <c r="Q847" s="23">
        <v>0.755</v>
      </c>
      <c r="R847" s="23">
        <f>0.532+0.816+0.81+0.227</f>
        <v>2.3849999999999998</v>
      </c>
      <c r="S847" s="8"/>
      <c r="T847" s="8"/>
      <c r="U847" s="8">
        <v>4.0853293413173652</v>
      </c>
      <c r="V847" s="8">
        <v>4.3042912873862162</v>
      </c>
      <c r="W847" s="8">
        <v>3.1589403973509929</v>
      </c>
      <c r="X847" s="8"/>
      <c r="Y847" s="31">
        <f t="shared" si="171"/>
        <v>-0.58540661891310863</v>
      </c>
      <c r="Z847" s="31">
        <f t="shared" si="172"/>
        <v>-0.58540661891310863</v>
      </c>
      <c r="AA847" s="31" t="str">
        <f t="shared" si="173"/>
        <v/>
      </c>
    </row>
    <row r="848" spans="1:27" x14ac:dyDescent="0.25">
      <c r="A848" s="6" t="str">
        <f t="shared" si="167"/>
        <v>complete</v>
      </c>
      <c r="B848" s="6" t="s">
        <v>803</v>
      </c>
      <c r="C848" s="6" t="str">
        <f t="shared" si="168"/>
        <v>HC62 2088</v>
      </c>
      <c r="D848" s="6" t="s">
        <v>795</v>
      </c>
      <c r="E848" s="20">
        <v>2088</v>
      </c>
      <c r="G848" s="6" t="s">
        <v>851</v>
      </c>
      <c r="H848" s="6" t="s">
        <v>977</v>
      </c>
      <c r="I848" s="8" t="s">
        <v>20</v>
      </c>
      <c r="J848" s="29">
        <v>17.875330000000002</v>
      </c>
      <c r="K848" s="8">
        <f t="shared" si="169"/>
        <v>1.2522540681433905</v>
      </c>
      <c r="L848" s="8">
        <f t="shared" si="170"/>
        <v>7.488591735936212</v>
      </c>
      <c r="M848" s="8"/>
      <c r="N848" s="8"/>
      <c r="O848" s="8">
        <v>4.63</v>
      </c>
      <c r="P848" s="8">
        <f>0.341+1.232+1.98+2.893+2.376+0.67</f>
        <v>9.4919999999999991</v>
      </c>
      <c r="Q848" s="8">
        <v>1.048</v>
      </c>
      <c r="R848" s="8">
        <f>0.286+0.744+0.751+0.641</f>
        <v>2.4220000000000002</v>
      </c>
      <c r="S848" s="8">
        <v>1.9850000000000001</v>
      </c>
      <c r="T848" s="8">
        <f>0.813+1.59+1.733+0.516</f>
        <v>4.6520000000000001</v>
      </c>
      <c r="U848" s="8"/>
      <c r="V848" s="8">
        <f>P848/O848</f>
        <v>2.050107991360691</v>
      </c>
      <c r="W848" s="8">
        <f t="shared" ref="W848:W856" si="174">R848/Q848</f>
        <v>2.3110687022900764</v>
      </c>
      <c r="X848" s="8">
        <f>T848/S848</f>
        <v>2.3435768261964736</v>
      </c>
      <c r="Y848" s="31">
        <f t="shared" si="171"/>
        <v>-0.34926156222741667</v>
      </c>
      <c r="Z848" s="31" t="str">
        <f t="shared" si="172"/>
        <v/>
      </c>
      <c r="AA848" s="31">
        <f t="shared" si="173"/>
        <v>-0.34926156222741667</v>
      </c>
    </row>
    <row r="849" spans="1:27" x14ac:dyDescent="0.25">
      <c r="A849" s="6" t="str">
        <f t="shared" si="167"/>
        <v>complete</v>
      </c>
      <c r="B849" s="6" t="s">
        <v>803</v>
      </c>
      <c r="C849" s="6" t="str">
        <f t="shared" si="168"/>
        <v>HC62 2097</v>
      </c>
      <c r="D849" s="6" t="s">
        <v>795</v>
      </c>
      <c r="E849" s="20">
        <v>2097</v>
      </c>
      <c r="F849" s="6" t="s">
        <v>720</v>
      </c>
      <c r="G849" s="6" t="s">
        <v>828</v>
      </c>
      <c r="H849" s="6" t="s">
        <v>977</v>
      </c>
      <c r="I849" s="6" t="s">
        <v>20</v>
      </c>
      <c r="J849" s="29">
        <v>28.949000000000002</v>
      </c>
      <c r="K849" s="8">
        <f t="shared" si="169"/>
        <v>1.4616335662678472</v>
      </c>
      <c r="L849" s="8">
        <f t="shared" si="170"/>
        <v>7.9707058470961609</v>
      </c>
      <c r="M849" s="8">
        <v>2.4740000000000002</v>
      </c>
      <c r="N849" s="8">
        <f>0.476+1.321+1.375+1.272+0.528</f>
        <v>4.9719999999999995</v>
      </c>
      <c r="O849" s="8">
        <v>5.9539999999999997</v>
      </c>
      <c r="P849" s="8">
        <f>0.644+1.504+2.132+2.242+2.561+2.337+1.278+0.363</f>
        <v>13.061</v>
      </c>
      <c r="Q849" s="8">
        <v>3.3679999999999999</v>
      </c>
      <c r="R849" s="8">
        <f>0.717+1.302+1.345+1.433+0.634</f>
        <v>5.431</v>
      </c>
      <c r="S849" s="8"/>
      <c r="T849" s="8"/>
      <c r="U849" s="8">
        <f>N849/M849</f>
        <v>2.0097008892481809</v>
      </c>
      <c r="V849" s="8">
        <f>P849/O849</f>
        <v>2.1936513268390998</v>
      </c>
      <c r="W849" s="8">
        <f t="shared" si="174"/>
        <v>1.6125296912114016</v>
      </c>
      <c r="X849" s="8"/>
      <c r="Y849" s="31">
        <f t="shared" si="171"/>
        <v>-0.2874943247803512</v>
      </c>
      <c r="Z849" s="31" t="str">
        <f t="shared" si="172"/>
        <v/>
      </c>
      <c r="AA849" s="31">
        <f t="shared" si="173"/>
        <v>-0.2874943247803512</v>
      </c>
    </row>
    <row r="850" spans="1:27" x14ac:dyDescent="0.25">
      <c r="A850" s="6" t="str">
        <f t="shared" si="167"/>
        <v>complete</v>
      </c>
      <c r="B850" s="6" t="s">
        <v>803</v>
      </c>
      <c r="C850" s="6" t="str">
        <f t="shared" si="168"/>
        <v>HC62 2097</v>
      </c>
      <c r="D850" s="6" t="s">
        <v>795</v>
      </c>
      <c r="E850" s="20">
        <v>2097</v>
      </c>
      <c r="F850" s="6" t="s">
        <v>720</v>
      </c>
      <c r="G850" s="6" t="s">
        <v>829</v>
      </c>
      <c r="H850" s="6" t="s">
        <v>977</v>
      </c>
      <c r="I850" s="6" t="s">
        <v>20</v>
      </c>
      <c r="J850" s="29">
        <v>34.222999999999999</v>
      </c>
      <c r="K850" s="8">
        <f t="shared" si="169"/>
        <v>1.5343180772780924</v>
      </c>
      <c r="L850" s="8">
        <f t="shared" si="170"/>
        <v>8.1380681186399126</v>
      </c>
      <c r="M850" s="8">
        <v>2.9470000000000001</v>
      </c>
      <c r="N850" s="8">
        <f>0.669+1.412+1.726+1.506+1.213+0.289</f>
        <v>6.8149999999999995</v>
      </c>
      <c r="O850" s="8">
        <v>2.8919999999999999</v>
      </c>
      <c r="P850" s="8">
        <f>0.51+1.266+1.308+1.236+1.19+0.383</f>
        <v>5.8929999999999998</v>
      </c>
      <c r="Q850" s="8">
        <v>2.5579999999999998</v>
      </c>
      <c r="R850" s="8">
        <f>0.615+1.121+1.114+1.065+0.551</f>
        <v>4.4660000000000002</v>
      </c>
      <c r="S850" s="8">
        <v>3.6189999999999998</v>
      </c>
      <c r="T850" s="8">
        <f>0.334+1.289+1.89+1.856+1.435+0.315</f>
        <v>7.1190000000000007</v>
      </c>
      <c r="U850" s="8">
        <f>N850/M850</f>
        <v>2.3125212080081439</v>
      </c>
      <c r="V850" s="8">
        <f>P850/O850</f>
        <v>2.0376901798063622</v>
      </c>
      <c r="W850" s="8">
        <f t="shared" si="174"/>
        <v>1.7458952306489446</v>
      </c>
      <c r="X850" s="8">
        <f>T850/S850</f>
        <v>1.9671179883945844</v>
      </c>
      <c r="Y850" s="31">
        <f t="shared" si="171"/>
        <v>-0.30444876622166084</v>
      </c>
      <c r="Z850" s="31" t="str">
        <f t="shared" si="172"/>
        <v/>
      </c>
      <c r="AA850" s="31">
        <f t="shared" si="173"/>
        <v>-0.30444876622166084</v>
      </c>
    </row>
    <row r="851" spans="1:27" x14ac:dyDescent="0.25">
      <c r="A851" s="6" t="str">
        <f t="shared" si="167"/>
        <v>fragment</v>
      </c>
      <c r="B851" s="6" t="s">
        <v>803</v>
      </c>
      <c r="C851" s="6" t="str">
        <f t="shared" si="168"/>
        <v>HC62 2097</v>
      </c>
      <c r="D851" s="6" t="s">
        <v>795</v>
      </c>
      <c r="E851" s="20">
        <v>2097</v>
      </c>
      <c r="F851" s="6" t="s">
        <v>720</v>
      </c>
      <c r="G851" s="6" t="s">
        <v>815</v>
      </c>
      <c r="H851" s="6" t="s">
        <v>977</v>
      </c>
      <c r="I851" s="6" t="s">
        <v>20</v>
      </c>
      <c r="J851" s="29"/>
      <c r="K851" s="8" t="str">
        <f t="shared" si="169"/>
        <v/>
      </c>
      <c r="L851" s="8" t="str">
        <f t="shared" si="170"/>
        <v/>
      </c>
      <c r="M851" s="8"/>
      <c r="N851" s="8"/>
      <c r="O851" s="8"/>
      <c r="P851" s="8"/>
      <c r="Q851" s="8">
        <v>1.587</v>
      </c>
      <c r="R851" s="8">
        <f>0.39+0.877+0.847+0.806+0.682</f>
        <v>3.6019999999999999</v>
      </c>
      <c r="S851" s="8">
        <v>1.8090000000000002</v>
      </c>
      <c r="T851" s="8">
        <f>0.591+0.768+0.801+0.801+0.631</f>
        <v>3.5920000000000005</v>
      </c>
      <c r="U851" s="8"/>
      <c r="V851" s="8"/>
      <c r="W851" s="8">
        <f t="shared" si="174"/>
        <v>2.2696912413358539</v>
      </c>
      <c r="X851" s="8">
        <f>T851/S851</f>
        <v>1.9856274184632394</v>
      </c>
      <c r="Y851" s="31">
        <f t="shared" si="171"/>
        <v>-0.32790209214333932</v>
      </c>
      <c r="Z851" s="31">
        <f t="shared" si="172"/>
        <v>-0.32790209214333932</v>
      </c>
      <c r="AA851" s="31" t="str">
        <f t="shared" si="173"/>
        <v/>
      </c>
    </row>
    <row r="852" spans="1:27" x14ac:dyDescent="0.25">
      <c r="A852" s="6" t="str">
        <f t="shared" si="167"/>
        <v>complete</v>
      </c>
      <c r="B852" s="6" t="s">
        <v>803</v>
      </c>
      <c r="C852" s="6" t="str">
        <f t="shared" si="168"/>
        <v>HC62 2097</v>
      </c>
      <c r="D852" s="6" t="s">
        <v>795</v>
      </c>
      <c r="E852" s="20">
        <v>2097</v>
      </c>
      <c r="F852" s="6" t="s">
        <v>720</v>
      </c>
      <c r="G852" s="6" t="s">
        <v>816</v>
      </c>
      <c r="H852" s="6" t="s">
        <v>977</v>
      </c>
      <c r="I852" s="6" t="s">
        <v>20</v>
      </c>
      <c r="J852" s="29">
        <f>9.728*2</f>
        <v>19.456</v>
      </c>
      <c r="K852" s="8">
        <f t="shared" si="169"/>
        <v>1.289053557592641</v>
      </c>
      <c r="L852" s="8">
        <f t="shared" si="170"/>
        <v>7.5733256917718474</v>
      </c>
      <c r="M852" s="8">
        <v>2.327</v>
      </c>
      <c r="N852" s="8">
        <f>0.482+1.475+1.817+1.074+0.215</f>
        <v>5.0629999999999997</v>
      </c>
      <c r="O852" s="8"/>
      <c r="P852" s="8"/>
      <c r="Q852" s="8">
        <v>1.23</v>
      </c>
      <c r="R852" s="8">
        <f>0.699+1.049+0.552</f>
        <v>2.2999999999999998</v>
      </c>
      <c r="S852" s="8"/>
      <c r="T852" s="8"/>
      <c r="U852" s="8">
        <f>N852/M852</f>
        <v>2.1757627847013321</v>
      </c>
      <c r="V852" s="8"/>
      <c r="W852" s="8">
        <f t="shared" si="174"/>
        <v>1.8699186991869918</v>
      </c>
      <c r="X852" s="8"/>
      <c r="Y852" s="31">
        <f t="shared" si="171"/>
        <v>-0.30596169215417085</v>
      </c>
      <c r="Z852" s="31" t="str">
        <f t="shared" si="172"/>
        <v/>
      </c>
      <c r="AA852" s="31">
        <f t="shared" si="173"/>
        <v>-0.30596169215417085</v>
      </c>
    </row>
    <row r="853" spans="1:27" x14ac:dyDescent="0.25">
      <c r="A853" s="6" t="str">
        <f t="shared" si="167"/>
        <v>fragment</v>
      </c>
      <c r="B853" s="6" t="s">
        <v>803</v>
      </c>
      <c r="C853" s="6" t="str">
        <f t="shared" si="168"/>
        <v>HC62 2097</v>
      </c>
      <c r="D853" s="6" t="s">
        <v>795</v>
      </c>
      <c r="E853" s="20">
        <v>2097</v>
      </c>
      <c r="F853" s="6" t="s">
        <v>720</v>
      </c>
      <c r="G853" s="6" t="s">
        <v>817</v>
      </c>
      <c r="H853" s="6" t="s">
        <v>977</v>
      </c>
      <c r="I853" s="6" t="s">
        <v>20</v>
      </c>
      <c r="J853" s="29"/>
      <c r="K853" s="8" t="str">
        <f t="shared" si="169"/>
        <v/>
      </c>
      <c r="L853" s="8" t="str">
        <f t="shared" si="170"/>
        <v/>
      </c>
      <c r="M853" s="8"/>
      <c r="N853" s="8"/>
      <c r="O853" s="8">
        <v>2.0499999999999998</v>
      </c>
      <c r="P853" s="8">
        <f>0.377+1.027+1.249+1.15+1.094+0.591</f>
        <v>5.4880000000000004</v>
      </c>
      <c r="Q853" s="8">
        <v>1.1459999999999999</v>
      </c>
      <c r="R853" s="8">
        <f>0.361+0.65+0.655+0.628+0.62+0.532</f>
        <v>3.4460000000000002</v>
      </c>
      <c r="S853" s="8">
        <v>1.5510000000000002</v>
      </c>
      <c r="T853" s="8">
        <f>0.963+0.863+0.532</f>
        <v>2.3580000000000001</v>
      </c>
      <c r="U853" s="8"/>
      <c r="V853" s="8">
        <f t="shared" ref="V853:V865" si="175">P853/O853</f>
        <v>2.6770731707317079</v>
      </c>
      <c r="W853" s="8">
        <f t="shared" si="174"/>
        <v>3.0069808027923215</v>
      </c>
      <c r="X853" s="8">
        <f>T853/S853</f>
        <v>1.5203094777562862</v>
      </c>
      <c r="Y853" s="31">
        <f t="shared" si="171"/>
        <v>-0.38047435960327397</v>
      </c>
      <c r="Z853" s="31">
        <f t="shared" si="172"/>
        <v>-0.38047435960327397</v>
      </c>
      <c r="AA853" s="31" t="str">
        <f t="shared" si="173"/>
        <v/>
      </c>
    </row>
    <row r="854" spans="1:27" x14ac:dyDescent="0.25">
      <c r="A854" s="6" t="str">
        <f t="shared" si="167"/>
        <v>fragment</v>
      </c>
      <c r="B854" s="6" t="s">
        <v>803</v>
      </c>
      <c r="C854" s="6" t="str">
        <f t="shared" si="168"/>
        <v>HC62 2097</v>
      </c>
      <c r="D854" s="6" t="s">
        <v>795</v>
      </c>
      <c r="E854" s="20">
        <v>2097</v>
      </c>
      <c r="F854" s="6" t="s">
        <v>720</v>
      </c>
      <c r="G854" s="6" t="s">
        <v>818</v>
      </c>
      <c r="H854" s="6" t="s">
        <v>977</v>
      </c>
      <c r="I854" s="6" t="s">
        <v>20</v>
      </c>
      <c r="J854" s="29"/>
      <c r="K854" s="8" t="str">
        <f t="shared" si="169"/>
        <v/>
      </c>
      <c r="L854" s="8" t="str">
        <f t="shared" si="170"/>
        <v/>
      </c>
      <c r="M854" s="8"/>
      <c r="N854" s="8"/>
      <c r="O854" s="8">
        <v>1.29</v>
      </c>
      <c r="P854" s="8">
        <f>0.6+1.06+1.052+0.455</f>
        <v>3.1670000000000003</v>
      </c>
      <c r="Q854" s="8">
        <v>1.875</v>
      </c>
      <c r="R854" s="8">
        <f>0.779+1.545+1.355+0.584</f>
        <v>4.2629999999999999</v>
      </c>
      <c r="S854" s="8"/>
      <c r="T854" s="8"/>
      <c r="U854" s="8"/>
      <c r="V854" s="8">
        <f t="shared" si="175"/>
        <v>2.4550387596899226</v>
      </c>
      <c r="W854" s="8">
        <f t="shared" si="174"/>
        <v>2.2736000000000001</v>
      </c>
      <c r="X854" s="8"/>
      <c r="Y854" s="31">
        <f t="shared" si="171"/>
        <v>-0.37370614206350045</v>
      </c>
      <c r="Z854" s="31">
        <f t="shared" si="172"/>
        <v>-0.37370614206350045</v>
      </c>
      <c r="AA854" s="31" t="str">
        <f t="shared" si="173"/>
        <v/>
      </c>
    </row>
    <row r="855" spans="1:27" x14ac:dyDescent="0.25">
      <c r="A855" s="6" t="str">
        <f t="shared" si="167"/>
        <v>fragment</v>
      </c>
      <c r="B855" s="6" t="s">
        <v>803</v>
      </c>
      <c r="C855" s="6" t="str">
        <f t="shared" si="168"/>
        <v>HC62 2097</v>
      </c>
      <c r="D855" s="6" t="s">
        <v>795</v>
      </c>
      <c r="E855" s="20">
        <v>2097</v>
      </c>
      <c r="F855" s="6" t="s">
        <v>720</v>
      </c>
      <c r="G855" s="6" t="s">
        <v>819</v>
      </c>
      <c r="H855" s="6" t="s">
        <v>977</v>
      </c>
      <c r="I855" s="6" t="s">
        <v>20</v>
      </c>
      <c r="J855" s="29"/>
      <c r="K855" s="8" t="str">
        <f t="shared" si="169"/>
        <v/>
      </c>
      <c r="L855" s="8" t="str">
        <f t="shared" si="170"/>
        <v/>
      </c>
      <c r="M855" s="8"/>
      <c r="N855" s="8"/>
      <c r="O855" s="8">
        <v>3.645</v>
      </c>
      <c r="P855" s="8">
        <f>1.336+1.668+1.526+0.77</f>
        <v>5.3000000000000007</v>
      </c>
      <c r="Q855" s="8">
        <v>5.04</v>
      </c>
      <c r="R855" s="8">
        <f>0.963+1.759+1.821+1.443</f>
        <v>5.9860000000000007</v>
      </c>
      <c r="S855" s="8"/>
      <c r="T855" s="8"/>
      <c r="U855" s="8"/>
      <c r="V855" s="8">
        <f t="shared" si="175"/>
        <v>1.4540466392318245</v>
      </c>
      <c r="W855" s="8">
        <f t="shared" si="174"/>
        <v>1.1876984126984129</v>
      </c>
      <c r="X855" s="8"/>
      <c r="Y855" s="31">
        <f t="shared" si="171"/>
        <v>-0.12086090698527936</v>
      </c>
      <c r="Z855" s="31">
        <f t="shared" si="172"/>
        <v>-0.12086090698527936</v>
      </c>
      <c r="AA855" s="31" t="str">
        <f t="shared" si="173"/>
        <v/>
      </c>
    </row>
    <row r="856" spans="1:27" x14ac:dyDescent="0.25">
      <c r="A856" s="6" t="str">
        <f t="shared" si="167"/>
        <v>fragment</v>
      </c>
      <c r="B856" s="6" t="s">
        <v>803</v>
      </c>
      <c r="C856" s="6" t="str">
        <f t="shared" si="168"/>
        <v>HC62 2097</v>
      </c>
      <c r="D856" s="6" t="s">
        <v>795</v>
      </c>
      <c r="E856" s="20">
        <v>2097</v>
      </c>
      <c r="F856" s="6" t="s">
        <v>720</v>
      </c>
      <c r="G856" s="6" t="s">
        <v>820</v>
      </c>
      <c r="H856" s="6" t="s">
        <v>977</v>
      </c>
      <c r="I856" s="6" t="s">
        <v>20</v>
      </c>
      <c r="J856" s="29"/>
      <c r="K856" s="8" t="str">
        <f t="shared" si="169"/>
        <v/>
      </c>
      <c r="L856" s="8" t="str">
        <f t="shared" si="170"/>
        <v/>
      </c>
      <c r="M856" s="8"/>
      <c r="N856" s="8"/>
      <c r="O856" s="8">
        <v>2.258</v>
      </c>
      <c r="P856" s="8">
        <f>0.789+1.221+1.191+0.384</f>
        <v>3.5850000000000004</v>
      </c>
      <c r="Q856" s="8">
        <v>3.5019999999999998</v>
      </c>
      <c r="R856" s="8">
        <f>0.933+1.439+1.384+1.357+0.74</f>
        <v>5.8529999999999998</v>
      </c>
      <c r="S856" s="8">
        <v>2.25</v>
      </c>
      <c r="T856" s="8">
        <f>0.473+1.164+1.055+0.786</f>
        <v>3.4780000000000002</v>
      </c>
      <c r="U856" s="8"/>
      <c r="V856" s="8">
        <f t="shared" si="175"/>
        <v>1.5876882196634192</v>
      </c>
      <c r="W856" s="8">
        <f t="shared" si="174"/>
        <v>1.6713306681896061</v>
      </c>
      <c r="X856" s="8">
        <f>T856/S856</f>
        <v>1.5457777777777779</v>
      </c>
      <c r="Y856" s="31">
        <f t="shared" si="171"/>
        <v>-0.20455375874941156</v>
      </c>
      <c r="Z856" s="31">
        <f t="shared" si="172"/>
        <v>-0.20455375874941156</v>
      </c>
      <c r="AA856" s="31" t="str">
        <f t="shared" si="173"/>
        <v/>
      </c>
    </row>
    <row r="857" spans="1:27" x14ac:dyDescent="0.25">
      <c r="A857" s="6" t="str">
        <f t="shared" si="167"/>
        <v>fragment</v>
      </c>
      <c r="B857" s="6" t="s">
        <v>803</v>
      </c>
      <c r="C857" s="6" t="str">
        <f t="shared" si="168"/>
        <v>HC62 2097</v>
      </c>
      <c r="D857" s="6" t="s">
        <v>795</v>
      </c>
      <c r="E857" s="20">
        <v>2097</v>
      </c>
      <c r="F857" s="6" t="s">
        <v>720</v>
      </c>
      <c r="G857" s="6" t="s">
        <v>821</v>
      </c>
      <c r="H857" s="6" t="s">
        <v>977</v>
      </c>
      <c r="I857" s="6" t="s">
        <v>20</v>
      </c>
      <c r="J857" s="29"/>
      <c r="K857" s="8" t="str">
        <f t="shared" si="169"/>
        <v/>
      </c>
      <c r="L857" s="8" t="str">
        <f t="shared" si="170"/>
        <v/>
      </c>
      <c r="M857" s="8">
        <v>1.94</v>
      </c>
      <c r="N857" s="8">
        <f>0.481+1.935+1.069+0.464</f>
        <v>3.9489999999999998</v>
      </c>
      <c r="O857" s="8">
        <v>4.3079999999999998</v>
      </c>
      <c r="P857" s="8">
        <f>0.668+1.674+1.598+1.657+0.569</f>
        <v>6.1660000000000004</v>
      </c>
      <c r="Q857" s="8"/>
      <c r="R857" s="8"/>
      <c r="S857" s="8"/>
      <c r="T857" s="8"/>
      <c r="U857" s="8">
        <f>N857/M857</f>
        <v>2.0355670103092782</v>
      </c>
      <c r="V857" s="8">
        <f t="shared" si="175"/>
        <v>1.4312906220984216</v>
      </c>
      <c r="W857" s="8"/>
      <c r="X857" s="8"/>
      <c r="Y857" s="31">
        <f t="shared" si="171"/>
        <v>-0.23890601191994837</v>
      </c>
      <c r="Z857" s="31">
        <f t="shared" si="172"/>
        <v>-0.23890601191994837</v>
      </c>
      <c r="AA857" s="31" t="str">
        <f t="shared" si="173"/>
        <v/>
      </c>
    </row>
    <row r="858" spans="1:27" x14ac:dyDescent="0.25">
      <c r="A858" s="6" t="str">
        <f t="shared" si="167"/>
        <v>fragment</v>
      </c>
      <c r="B858" s="6" t="s">
        <v>803</v>
      </c>
      <c r="C858" s="6" t="str">
        <f t="shared" si="168"/>
        <v>HC62 2097</v>
      </c>
      <c r="D858" s="6" t="s">
        <v>795</v>
      </c>
      <c r="E858" s="20">
        <v>2097</v>
      </c>
      <c r="F858" s="6" t="s">
        <v>720</v>
      </c>
      <c r="G858" s="6" t="s">
        <v>822</v>
      </c>
      <c r="H858" s="6" t="s">
        <v>977</v>
      </c>
      <c r="I858" s="6" t="s">
        <v>20</v>
      </c>
      <c r="J858" s="29"/>
      <c r="K858" s="8" t="str">
        <f t="shared" si="169"/>
        <v/>
      </c>
      <c r="L858" s="8" t="str">
        <f t="shared" si="170"/>
        <v/>
      </c>
      <c r="M858" s="8"/>
      <c r="N858" s="8"/>
      <c r="O858" s="8">
        <v>3.746</v>
      </c>
      <c r="P858" s="8">
        <f>0.678+1.331+1.424+1.475+0.503</f>
        <v>5.4109999999999996</v>
      </c>
      <c r="Q858" s="8"/>
      <c r="R858" s="8"/>
      <c r="S858" s="8">
        <v>5.3769999999999998</v>
      </c>
      <c r="T858" s="8">
        <f>0.697+1.757+1.855+2.03+1.164</f>
        <v>7.5029999999999983</v>
      </c>
      <c r="U858" s="8"/>
      <c r="V858" s="8">
        <f t="shared" si="175"/>
        <v>1.4444741057127601</v>
      </c>
      <c r="W858" s="8"/>
      <c r="X858" s="8">
        <f t="shared" ref="X858:X864" si="176">T858/S858</f>
        <v>1.3953877626929512</v>
      </c>
      <c r="Y858" s="31">
        <f t="shared" si="171"/>
        <v>-0.15226722070414395</v>
      </c>
      <c r="Z858" s="31">
        <f t="shared" si="172"/>
        <v>-0.15226722070414395</v>
      </c>
      <c r="AA858" s="31" t="str">
        <f t="shared" si="173"/>
        <v/>
      </c>
    </row>
    <row r="859" spans="1:27" x14ac:dyDescent="0.25">
      <c r="A859" s="6" t="str">
        <f t="shared" si="167"/>
        <v>fragment</v>
      </c>
      <c r="B859" s="6" t="s">
        <v>803</v>
      </c>
      <c r="C859" s="6" t="str">
        <f t="shared" si="168"/>
        <v>HC62 2097</v>
      </c>
      <c r="D859" s="6" t="s">
        <v>795</v>
      </c>
      <c r="E859" s="20">
        <v>2097</v>
      </c>
      <c r="F859" s="6" t="s">
        <v>720</v>
      </c>
      <c r="G859" s="6" t="s">
        <v>823</v>
      </c>
      <c r="H859" s="6" t="s">
        <v>977</v>
      </c>
      <c r="I859" s="6" t="s">
        <v>20</v>
      </c>
      <c r="J859" s="29"/>
      <c r="K859" s="8" t="str">
        <f t="shared" si="169"/>
        <v/>
      </c>
      <c r="L859" s="8" t="str">
        <f t="shared" si="170"/>
        <v/>
      </c>
      <c r="M859" s="8"/>
      <c r="N859" s="8"/>
      <c r="O859" s="8">
        <v>1.5510000000000002</v>
      </c>
      <c r="P859" s="8">
        <f>0.416+1.027+1.252+0.633</f>
        <v>3.3279999999999998</v>
      </c>
      <c r="Q859" s="8">
        <v>1.6520000000000001</v>
      </c>
      <c r="R859" s="8">
        <f>0.536+0.811+0.841+0.855+0.694</f>
        <v>3.7369999999999997</v>
      </c>
      <c r="S859" s="8">
        <v>2.0369999999999999</v>
      </c>
      <c r="T859" s="8">
        <f>0.208+1.041+1.283+1.438+0.791+0.127</f>
        <v>4.8879999999999999</v>
      </c>
      <c r="U859" s="8"/>
      <c r="V859" s="8">
        <f t="shared" si="175"/>
        <v>2.1457124435847836</v>
      </c>
      <c r="W859" s="8">
        <f>R859/Q859</f>
        <v>2.2621065375302658</v>
      </c>
      <c r="X859" s="8">
        <f t="shared" si="176"/>
        <v>2.3996072655866469</v>
      </c>
      <c r="Y859" s="31">
        <f t="shared" si="171"/>
        <v>-0.35586169006663448</v>
      </c>
      <c r="Z859" s="31">
        <f t="shared" si="172"/>
        <v>-0.35586169006663448</v>
      </c>
      <c r="AA859" s="31" t="str">
        <f t="shared" si="173"/>
        <v/>
      </c>
    </row>
    <row r="860" spans="1:27" x14ac:dyDescent="0.25">
      <c r="A860" s="6" t="str">
        <f t="shared" si="167"/>
        <v>fragment</v>
      </c>
      <c r="B860" s="6" t="s">
        <v>803</v>
      </c>
      <c r="C860" s="6" t="str">
        <f t="shared" si="168"/>
        <v>HC62 2097</v>
      </c>
      <c r="D860" s="6" t="s">
        <v>795</v>
      </c>
      <c r="E860" s="20">
        <v>2097</v>
      </c>
      <c r="F860" s="6" t="s">
        <v>720</v>
      </c>
      <c r="G860" s="6" t="s">
        <v>824</v>
      </c>
      <c r="H860" s="6" t="s">
        <v>977</v>
      </c>
      <c r="I860" s="6" t="s">
        <v>20</v>
      </c>
      <c r="J860" s="29"/>
      <c r="K860" s="8" t="str">
        <f t="shared" si="169"/>
        <v/>
      </c>
      <c r="L860" s="8" t="str">
        <f t="shared" si="170"/>
        <v/>
      </c>
      <c r="M860" s="8"/>
      <c r="N860" s="8"/>
      <c r="O860" s="8">
        <v>2.4609999999999999</v>
      </c>
      <c r="P860" s="8">
        <f>0.357+1.62+1.804+0.362</f>
        <v>4.1429999999999998</v>
      </c>
      <c r="Q860" s="8"/>
      <c r="R860" s="8"/>
      <c r="S860" s="8">
        <v>2.1280000000000001</v>
      </c>
      <c r="T860" s="8">
        <f>0.926+1.79+0.836</f>
        <v>3.552</v>
      </c>
      <c r="U860" s="8"/>
      <c r="V860" s="8">
        <f t="shared" si="175"/>
        <v>1.6834620073141</v>
      </c>
      <c r="W860" s="8"/>
      <c r="X860" s="8">
        <f t="shared" si="176"/>
        <v>1.6691729323308271</v>
      </c>
      <c r="Y860" s="31">
        <f t="shared" si="171"/>
        <v>-0.22435627105765796</v>
      </c>
      <c r="Z860" s="31">
        <f t="shared" si="172"/>
        <v>-0.22435627105765796</v>
      </c>
      <c r="AA860" s="31" t="str">
        <f t="shared" si="173"/>
        <v/>
      </c>
    </row>
    <row r="861" spans="1:27" x14ac:dyDescent="0.25">
      <c r="A861" s="6" t="str">
        <f t="shared" si="167"/>
        <v>fragment</v>
      </c>
      <c r="B861" s="6" t="s">
        <v>803</v>
      </c>
      <c r="C861" s="6" t="str">
        <f t="shared" si="168"/>
        <v>HC62 2097</v>
      </c>
      <c r="D861" s="6" t="s">
        <v>795</v>
      </c>
      <c r="E861" s="20">
        <v>2097</v>
      </c>
      <c r="F861" s="6" t="s">
        <v>720</v>
      </c>
      <c r="G861" s="6" t="s">
        <v>825</v>
      </c>
      <c r="H861" s="6" t="s">
        <v>977</v>
      </c>
      <c r="I861" s="6" t="s">
        <v>20</v>
      </c>
      <c r="J861" s="29"/>
      <c r="K861" s="8" t="str">
        <f t="shared" si="169"/>
        <v/>
      </c>
      <c r="L861" s="8" t="str">
        <f t="shared" si="170"/>
        <v/>
      </c>
      <c r="M861" s="8"/>
      <c r="N861" s="8"/>
      <c r="O861" s="8">
        <v>1.66</v>
      </c>
      <c r="P861" s="8">
        <f>0.639+1.609+0.73+0.73</f>
        <v>3.7080000000000002</v>
      </c>
      <c r="Q861" s="8"/>
      <c r="R861" s="8"/>
      <c r="S861" s="8">
        <v>1.9990000000000001</v>
      </c>
      <c r="T861" s="8">
        <f>1.015+1.321+0.725+0.57</f>
        <v>3.6309999999999998</v>
      </c>
      <c r="U861" s="8"/>
      <c r="V861" s="8">
        <f t="shared" si="175"/>
        <v>2.2337349397590365</v>
      </c>
      <c r="W861" s="8"/>
      <c r="X861" s="8">
        <f t="shared" si="176"/>
        <v>1.8164082041020508</v>
      </c>
      <c r="Y861" s="31">
        <f t="shared" si="171"/>
        <v>-0.30644037705449012</v>
      </c>
      <c r="Z861" s="31">
        <f t="shared" si="172"/>
        <v>-0.30644037705449012</v>
      </c>
      <c r="AA861" s="31" t="str">
        <f t="shared" si="173"/>
        <v/>
      </c>
    </row>
    <row r="862" spans="1:27" x14ac:dyDescent="0.25">
      <c r="A862" s="6" t="str">
        <f t="shared" si="167"/>
        <v>fragment</v>
      </c>
      <c r="B862" s="6" t="s">
        <v>803</v>
      </c>
      <c r="C862" s="6" t="str">
        <f t="shared" si="168"/>
        <v>HC62 2097</v>
      </c>
      <c r="D862" s="6" t="s">
        <v>795</v>
      </c>
      <c r="E862" s="20">
        <v>2097</v>
      </c>
      <c r="F862" s="6" t="s">
        <v>720</v>
      </c>
      <c r="G862" s="6" t="s">
        <v>826</v>
      </c>
      <c r="H862" s="6" t="s">
        <v>977</v>
      </c>
      <c r="I862" s="6" t="s">
        <v>20</v>
      </c>
      <c r="J862" s="29"/>
      <c r="K862" s="8" t="str">
        <f t="shared" si="169"/>
        <v/>
      </c>
      <c r="L862" s="8" t="str">
        <f t="shared" si="170"/>
        <v/>
      </c>
      <c r="M862" s="8"/>
      <c r="N862" s="8"/>
      <c r="O862" s="8">
        <v>2.1640000000000001</v>
      </c>
      <c r="P862" s="8">
        <f>0.47+1.284+1.192+0.232</f>
        <v>3.1779999999999999</v>
      </c>
      <c r="Q862" s="8"/>
      <c r="R862" s="8"/>
      <c r="S862" s="8">
        <v>2.6859999999999999</v>
      </c>
      <c r="T862" s="8">
        <f>1.073+1.498+1.284+1.238+0.274</f>
        <v>5.367</v>
      </c>
      <c r="U862" s="8"/>
      <c r="V862" s="8">
        <f t="shared" si="175"/>
        <v>1.4685767097966727</v>
      </c>
      <c r="W862" s="8"/>
      <c r="X862" s="8">
        <f t="shared" si="176"/>
        <v>1.9981384959046911</v>
      </c>
      <c r="Y862" s="31">
        <f t="shared" si="171"/>
        <v>-0.23888816970956414</v>
      </c>
      <c r="Z862" s="31">
        <f t="shared" si="172"/>
        <v>-0.23888816970956414</v>
      </c>
      <c r="AA862" s="31" t="str">
        <f t="shared" si="173"/>
        <v/>
      </c>
    </row>
    <row r="863" spans="1:27" x14ac:dyDescent="0.25">
      <c r="A863" s="6" t="str">
        <f t="shared" si="167"/>
        <v>fragment</v>
      </c>
      <c r="B863" s="6" t="s">
        <v>803</v>
      </c>
      <c r="C863" s="6" t="str">
        <f t="shared" si="168"/>
        <v>HC62 2097</v>
      </c>
      <c r="D863" s="6" t="s">
        <v>795</v>
      </c>
      <c r="E863" s="20">
        <v>2097</v>
      </c>
      <c r="F863" s="6" t="s">
        <v>720</v>
      </c>
      <c r="G863" s="6" t="s">
        <v>827</v>
      </c>
      <c r="H863" s="6" t="s">
        <v>977</v>
      </c>
      <c r="I863" s="6" t="s">
        <v>20</v>
      </c>
      <c r="J863" s="29"/>
      <c r="K863" s="8" t="str">
        <f t="shared" si="169"/>
        <v/>
      </c>
      <c r="L863" s="8" t="str">
        <f t="shared" si="170"/>
        <v/>
      </c>
      <c r="M863" s="8"/>
      <c r="N863" s="8"/>
      <c r="O863" s="8">
        <v>1.3089999999999999</v>
      </c>
      <c r="P863" s="8">
        <f>0.432+1.001+1.02+0.502</f>
        <v>2.9550000000000001</v>
      </c>
      <c r="Q863" s="8"/>
      <c r="R863" s="8"/>
      <c r="S863" s="8">
        <v>2.0489999999999999</v>
      </c>
      <c r="T863" s="8">
        <f>0.689+1.729+1.55+0.866</f>
        <v>4.8339999999999996</v>
      </c>
      <c r="U863" s="8"/>
      <c r="V863" s="8">
        <f t="shared" si="175"/>
        <v>2.2574484339190222</v>
      </c>
      <c r="W863" s="8"/>
      <c r="X863" s="8">
        <f t="shared" si="176"/>
        <v>2.3591996095656418</v>
      </c>
      <c r="Y863" s="31">
        <f t="shared" si="171"/>
        <v>-0.36329677111180742</v>
      </c>
      <c r="Z863" s="31">
        <f t="shared" si="172"/>
        <v>-0.36329677111180742</v>
      </c>
      <c r="AA863" s="31" t="str">
        <f t="shared" si="173"/>
        <v/>
      </c>
    </row>
    <row r="864" spans="1:27" x14ac:dyDescent="0.25">
      <c r="A864" s="6" t="str">
        <f t="shared" si="167"/>
        <v>fragment</v>
      </c>
      <c r="B864" s="6" t="s">
        <v>803</v>
      </c>
      <c r="C864" s="6" t="str">
        <f t="shared" si="168"/>
        <v>HC62 2097</v>
      </c>
      <c r="D864" s="6" t="s">
        <v>795</v>
      </c>
      <c r="E864" s="20">
        <v>2097</v>
      </c>
      <c r="F864" s="6" t="s">
        <v>720</v>
      </c>
      <c r="G864" s="6" t="s">
        <v>830</v>
      </c>
      <c r="H864" s="6" t="s">
        <v>977</v>
      </c>
      <c r="I864" s="6" t="s">
        <v>20</v>
      </c>
      <c r="J864" s="29"/>
      <c r="K864" s="8" t="str">
        <f t="shared" si="169"/>
        <v/>
      </c>
      <c r="L864" s="8" t="str">
        <f t="shared" si="170"/>
        <v/>
      </c>
      <c r="M864" s="8">
        <v>0.92800000000000005</v>
      </c>
      <c r="N864" s="8">
        <f>0.408+1.431+0.463</f>
        <v>2.302</v>
      </c>
      <c r="O864" s="8">
        <v>1.496</v>
      </c>
      <c r="P864" s="8">
        <f>0.32+1.083+0.458+1.263</f>
        <v>3.1239999999999997</v>
      </c>
      <c r="Q864" s="8"/>
      <c r="R864" s="8"/>
      <c r="S864" s="8">
        <v>1.5249999999999999</v>
      </c>
      <c r="T864" s="8">
        <f>0.329+1.007+1.17+0.762</f>
        <v>3.2679999999999998</v>
      </c>
      <c r="U864" s="8">
        <f>N864/M864</f>
        <v>2.4806034482758621</v>
      </c>
      <c r="V864" s="8">
        <f t="shared" si="175"/>
        <v>2.0882352941176467</v>
      </c>
      <c r="W864" s="8"/>
      <c r="X864" s="8">
        <f t="shared" si="176"/>
        <v>2.142950819672131</v>
      </c>
      <c r="Y864" s="31">
        <f t="shared" si="171"/>
        <v>-0.34971707667273499</v>
      </c>
      <c r="Z864" s="31">
        <f t="shared" si="172"/>
        <v>-0.34971707667273499</v>
      </c>
      <c r="AA864" s="31" t="str">
        <f t="shared" si="173"/>
        <v/>
      </c>
    </row>
    <row r="865" spans="1:27" x14ac:dyDescent="0.25">
      <c r="A865" s="6" t="str">
        <f t="shared" si="167"/>
        <v>fragment</v>
      </c>
      <c r="B865" s="6" t="s">
        <v>803</v>
      </c>
      <c r="C865" s="6" t="str">
        <f t="shared" si="168"/>
        <v>HC62 2097</v>
      </c>
      <c r="D865" s="6" t="s">
        <v>795</v>
      </c>
      <c r="E865" s="20">
        <v>2097</v>
      </c>
      <c r="F865" s="6" t="s">
        <v>720</v>
      </c>
      <c r="G865" s="6" t="s">
        <v>831</v>
      </c>
      <c r="H865" s="6" t="s">
        <v>977</v>
      </c>
      <c r="I865" s="6" t="s">
        <v>20</v>
      </c>
      <c r="J865" s="29"/>
      <c r="K865" s="8" t="str">
        <f t="shared" si="169"/>
        <v/>
      </c>
      <c r="L865" s="8" t="str">
        <f t="shared" si="170"/>
        <v/>
      </c>
      <c r="M865" s="8">
        <v>1.9910000000000001</v>
      </c>
      <c r="N865" s="8">
        <f>0.543+1.501+1.285+0.824</f>
        <v>4.1529999999999996</v>
      </c>
      <c r="O865" s="8">
        <v>2.2919999999999998</v>
      </c>
      <c r="P865" s="8">
        <f>0.853+1.108+1.011+0.952+0.735</f>
        <v>4.6589999999999998</v>
      </c>
      <c r="Q865" s="8"/>
      <c r="R865" s="8"/>
      <c r="S865" s="8"/>
      <c r="T865" s="8"/>
      <c r="U865" s="8">
        <f>N865/M865</f>
        <v>2.085886489201406</v>
      </c>
      <c r="V865" s="8">
        <f t="shared" si="175"/>
        <v>2.0327225130890052</v>
      </c>
      <c r="W865" s="8"/>
      <c r="X865" s="8"/>
      <c r="Y865" s="31">
        <f t="shared" si="171"/>
        <v>-0.31372056875959481</v>
      </c>
      <c r="Z865" s="31">
        <f t="shared" si="172"/>
        <v>-0.31372056875959481</v>
      </c>
      <c r="AA865" s="31" t="str">
        <f t="shared" si="173"/>
        <v/>
      </c>
    </row>
    <row r="866" spans="1:27" x14ac:dyDescent="0.25">
      <c r="A866" s="6" t="str">
        <f t="shared" si="167"/>
        <v>fragment</v>
      </c>
      <c r="B866" s="6" t="s">
        <v>803</v>
      </c>
      <c r="C866" s="6" t="str">
        <f t="shared" si="168"/>
        <v>HC62 2097</v>
      </c>
      <c r="D866" s="6" t="s">
        <v>795</v>
      </c>
      <c r="E866" s="20">
        <v>2097</v>
      </c>
      <c r="F866" s="6" t="s">
        <v>720</v>
      </c>
      <c r="G866" s="6" t="s">
        <v>832</v>
      </c>
      <c r="H866" s="6" t="s">
        <v>977</v>
      </c>
      <c r="I866" s="6" t="s">
        <v>20</v>
      </c>
      <c r="J866" s="29"/>
      <c r="K866" s="8" t="str">
        <f t="shared" si="169"/>
        <v/>
      </c>
      <c r="L866" s="8" t="str">
        <f t="shared" si="170"/>
        <v/>
      </c>
      <c r="M866" s="8"/>
      <c r="N866" s="8"/>
      <c r="O866" s="8"/>
      <c r="P866" s="8"/>
      <c r="Q866" s="8"/>
      <c r="R866" s="8"/>
      <c r="S866" s="8">
        <v>1.3220000000000001</v>
      </c>
      <c r="T866" s="8">
        <f>0.186+1.079+1.254+0.295</f>
        <v>2.8140000000000001</v>
      </c>
      <c r="U866" s="8"/>
      <c r="V866" s="8"/>
      <c r="W866" s="8"/>
      <c r="X866" s="8">
        <f>T866/S866</f>
        <v>2.1285930408472011</v>
      </c>
      <c r="Y866" s="31">
        <f t="shared" si="171"/>
        <v>-0.32809263794910543</v>
      </c>
      <c r="Z866" s="31">
        <f t="shared" si="172"/>
        <v>-0.32809263794910543</v>
      </c>
      <c r="AA866" s="31" t="str">
        <f t="shared" si="173"/>
        <v/>
      </c>
    </row>
    <row r="867" spans="1:27" x14ac:dyDescent="0.25">
      <c r="A867" s="6" t="str">
        <f t="shared" si="167"/>
        <v>fragment</v>
      </c>
      <c r="B867" s="6" t="s">
        <v>803</v>
      </c>
      <c r="C867" s="6" t="str">
        <f t="shared" si="168"/>
        <v>HC62 2097</v>
      </c>
      <c r="D867" s="6" t="s">
        <v>795</v>
      </c>
      <c r="E867" s="20">
        <v>2097</v>
      </c>
      <c r="F867" s="6" t="s">
        <v>720</v>
      </c>
      <c r="G867" s="6" t="s">
        <v>833</v>
      </c>
      <c r="H867" s="6" t="s">
        <v>977</v>
      </c>
      <c r="I867" s="6" t="s">
        <v>20</v>
      </c>
      <c r="J867" s="29"/>
      <c r="K867" s="8" t="str">
        <f t="shared" si="169"/>
        <v/>
      </c>
      <c r="L867" s="8" t="str">
        <f t="shared" si="170"/>
        <v/>
      </c>
      <c r="M867" s="8"/>
      <c r="N867" s="8"/>
      <c r="O867" s="8"/>
      <c r="P867" s="8"/>
      <c r="Q867" s="8"/>
      <c r="R867" s="8"/>
      <c r="S867" s="8">
        <v>1.97</v>
      </c>
      <c r="T867" s="8">
        <f>0.515+0.937+0.942+1.011+0.727</f>
        <v>4.1320000000000006</v>
      </c>
      <c r="U867" s="8"/>
      <c r="V867" s="8"/>
      <c r="W867" s="8"/>
      <c r="X867" s="8">
        <f>T867/S867</f>
        <v>2.0974619289340106</v>
      </c>
      <c r="Y867" s="31">
        <f t="shared" si="171"/>
        <v>-0.32169408668599009</v>
      </c>
      <c r="Z867" s="31">
        <f t="shared" si="172"/>
        <v>-0.32169408668599009</v>
      </c>
      <c r="AA867" s="31" t="str">
        <f t="shared" si="173"/>
        <v/>
      </c>
    </row>
    <row r="868" spans="1:27" x14ac:dyDescent="0.25">
      <c r="A868" s="6" t="str">
        <f t="shared" si="167"/>
        <v>complete</v>
      </c>
      <c r="B868" s="6" t="s">
        <v>803</v>
      </c>
      <c r="C868" s="6" t="str">
        <f t="shared" si="168"/>
        <v>HC62 2099</v>
      </c>
      <c r="D868" s="6" t="s">
        <v>795</v>
      </c>
      <c r="E868" s="20">
        <v>2099</v>
      </c>
      <c r="G868" s="6" t="s">
        <v>849</v>
      </c>
      <c r="H868" s="6" t="s">
        <v>977</v>
      </c>
      <c r="I868" s="8" t="s">
        <v>20</v>
      </c>
      <c r="J868" s="29">
        <v>11.026</v>
      </c>
      <c r="K868" s="8">
        <f t="shared" si="169"/>
        <v>1.0424179881432503</v>
      </c>
      <c r="L868" s="8">
        <f t="shared" si="170"/>
        <v>7.0054263061555835</v>
      </c>
      <c r="M868" s="8">
        <v>0.93400000000000005</v>
      </c>
      <c r="N868" s="8">
        <f>0.219+0.803+0.886+0.811+0.448</f>
        <v>3.1669999999999998</v>
      </c>
      <c r="O868" s="8">
        <v>0.98099999999999998</v>
      </c>
      <c r="P868" s="8">
        <f>0.26+0.795+0.78+0.778+0.366+0.075</f>
        <v>3.0540000000000007</v>
      </c>
      <c r="Q868" s="8">
        <v>1.3879999999999999</v>
      </c>
      <c r="R868" s="8">
        <f>0.791+1.578+1.115+0.413</f>
        <v>3.8969999999999998</v>
      </c>
      <c r="S868" s="8"/>
      <c r="T868" s="8"/>
      <c r="U868" s="8">
        <f>N868/M868</f>
        <v>3.3907922912205564</v>
      </c>
      <c r="V868" s="8">
        <f>P868/O868</f>
        <v>3.1131498470948018</v>
      </c>
      <c r="W868" s="8">
        <f>R868/Q868</f>
        <v>2.8076368876080693</v>
      </c>
      <c r="X868" s="8"/>
      <c r="Y868" s="31">
        <f t="shared" si="171"/>
        <v>-0.49190207868890085</v>
      </c>
      <c r="Z868" s="31" t="str">
        <f t="shared" si="172"/>
        <v/>
      </c>
      <c r="AA868" s="31">
        <f t="shared" si="173"/>
        <v>-0.49190207868890085</v>
      </c>
    </row>
    <row r="869" spans="1:27" x14ac:dyDescent="0.25">
      <c r="A869" s="6" t="str">
        <f t="shared" si="167"/>
        <v>fragment</v>
      </c>
      <c r="B869" s="6" t="s">
        <v>803</v>
      </c>
      <c r="C869" s="6" t="str">
        <f t="shared" si="168"/>
        <v>HC62 425</v>
      </c>
      <c r="D869" s="22" t="s">
        <v>795</v>
      </c>
      <c r="E869" s="22">
        <v>425</v>
      </c>
      <c r="F869" s="22"/>
      <c r="G869" s="22" t="s">
        <v>1094</v>
      </c>
      <c r="H869" s="22" t="s">
        <v>979</v>
      </c>
      <c r="I869" s="6" t="s">
        <v>20</v>
      </c>
      <c r="J869" s="30"/>
      <c r="K869" s="8" t="str">
        <f t="shared" si="169"/>
        <v/>
      </c>
      <c r="L869" s="8" t="str">
        <f t="shared" si="170"/>
        <v/>
      </c>
      <c r="M869" s="23"/>
      <c r="N869" s="23"/>
      <c r="O869" s="23"/>
      <c r="P869" s="23"/>
      <c r="Q869" s="23">
        <v>1.359</v>
      </c>
      <c r="R869" s="23">
        <f>0.337+1.001+1.041+0.871</f>
        <v>3.2499999999999996</v>
      </c>
      <c r="S869" s="8"/>
      <c r="T869" s="8"/>
      <c r="U869" s="8"/>
      <c r="V869" s="8"/>
      <c r="W869" s="8">
        <v>2.3914643119941128</v>
      </c>
      <c r="X869" s="8"/>
      <c r="Y869" s="31">
        <f t="shared" si="171"/>
        <v>-0.37866390424637997</v>
      </c>
      <c r="Z869" s="31">
        <f t="shared" si="172"/>
        <v>-0.37866390424637997</v>
      </c>
      <c r="AA869" s="31" t="str">
        <f t="shared" si="173"/>
        <v/>
      </c>
    </row>
    <row r="870" spans="1:27" x14ac:dyDescent="0.25">
      <c r="A870" s="6" t="str">
        <f t="shared" si="167"/>
        <v>complete</v>
      </c>
      <c r="B870" s="6" t="s">
        <v>803</v>
      </c>
      <c r="C870" s="6" t="str">
        <f t="shared" si="168"/>
        <v>HC62 425</v>
      </c>
      <c r="D870" s="6" t="s">
        <v>795</v>
      </c>
      <c r="E870" s="20">
        <v>425</v>
      </c>
      <c r="G870" s="6" t="s">
        <v>850</v>
      </c>
      <c r="I870" s="8" t="s">
        <v>20</v>
      </c>
      <c r="J870" s="29">
        <v>44.090069999999997</v>
      </c>
      <c r="K870" s="8">
        <f t="shared" si="169"/>
        <v>1.6443407883384478</v>
      </c>
      <c r="L870" s="8">
        <f t="shared" si="170"/>
        <v>8.3914047730182784</v>
      </c>
      <c r="M870" s="8">
        <v>2.2650000000000001</v>
      </c>
      <c r="N870" s="8">
        <f>0.666+1.562+1.715+0.925+0.955+0.176</f>
        <v>5.9990000000000006</v>
      </c>
      <c r="O870" s="8">
        <v>3.3079999999999998</v>
      </c>
      <c r="P870" s="8">
        <f>0.371+0.854+1.546+1.501+0.543+1.49+1.251+0.644</f>
        <v>8.2000000000000011</v>
      </c>
      <c r="Q870" s="8">
        <v>2.052</v>
      </c>
      <c r="R870" s="8">
        <f>1.606+0.937+0.929+0.891+0.341</f>
        <v>4.7040000000000006</v>
      </c>
      <c r="S870" s="8"/>
      <c r="T870" s="8"/>
      <c r="U870" s="8">
        <f>N870/M870</f>
        <v>2.6485651214128034</v>
      </c>
      <c r="V870" s="8">
        <f t="shared" ref="V870:V877" si="177">P870/O870</f>
        <v>2.4788391777509076</v>
      </c>
      <c r="W870" s="8">
        <f t="shared" ref="W870:W875" si="178">R870/Q870</f>
        <v>2.2923976608187138</v>
      </c>
      <c r="X870" s="8"/>
      <c r="Y870" s="31">
        <f t="shared" si="171"/>
        <v>-0.39327105907221865</v>
      </c>
      <c r="Z870" s="31" t="str">
        <f t="shared" si="172"/>
        <v/>
      </c>
      <c r="AA870" s="31">
        <f t="shared" si="173"/>
        <v>-0.39327105907221865</v>
      </c>
    </row>
    <row r="871" spans="1:27" x14ac:dyDescent="0.25">
      <c r="A871" s="6" t="str">
        <f t="shared" si="167"/>
        <v>complete</v>
      </c>
      <c r="B871" s="6" t="s">
        <v>803</v>
      </c>
      <c r="C871" s="6" t="str">
        <f t="shared" si="168"/>
        <v>HC62 428</v>
      </c>
      <c r="D871" s="6" t="s">
        <v>795</v>
      </c>
      <c r="E871" s="20">
        <v>428</v>
      </c>
      <c r="F871" s="6" t="s">
        <v>154</v>
      </c>
      <c r="G871" s="6" t="s">
        <v>847</v>
      </c>
      <c r="H871" s="6" t="s">
        <v>979</v>
      </c>
      <c r="I871" s="6" t="s">
        <v>20</v>
      </c>
      <c r="J871" s="29">
        <v>51.350999999999999</v>
      </c>
      <c r="K871" s="8">
        <f t="shared" si="169"/>
        <v>1.7105489053871079</v>
      </c>
      <c r="L871" s="8">
        <f t="shared" si="170"/>
        <v>8.5438545963697283</v>
      </c>
      <c r="M871" s="8">
        <v>3.4769999999999999</v>
      </c>
      <c r="N871" s="8">
        <f>0.416+1.566+1.615+1.728+0.545+1.527</f>
        <v>7.3970000000000002</v>
      </c>
      <c r="O871" s="8">
        <v>6.694</v>
      </c>
      <c r="P871" s="8">
        <f>1.196+1.644+1.738+1.738+1.798+1.731+0.813</f>
        <v>10.657999999999999</v>
      </c>
      <c r="Q871" s="8">
        <v>4.117</v>
      </c>
      <c r="R871" s="8">
        <f>0.486+1.221+1.45+1.428+1.414+1.421+0.739</f>
        <v>8.1590000000000007</v>
      </c>
      <c r="S871" s="8"/>
      <c r="T871" s="8"/>
      <c r="U871" s="8">
        <f>N871/M871</f>
        <v>2.1274086856485477</v>
      </c>
      <c r="V871" s="8">
        <f t="shared" si="177"/>
        <v>1.592172094412907</v>
      </c>
      <c r="W871" s="8">
        <f t="shared" si="178"/>
        <v>1.9817828515909646</v>
      </c>
      <c r="X871" s="8"/>
      <c r="Y871" s="31">
        <f t="shared" si="171"/>
        <v>-0.27885748636933716</v>
      </c>
      <c r="Z871" s="31" t="str">
        <f t="shared" si="172"/>
        <v/>
      </c>
      <c r="AA871" s="31">
        <f t="shared" si="173"/>
        <v>-0.27885748636933716</v>
      </c>
    </row>
    <row r="872" spans="1:27" x14ac:dyDescent="0.25">
      <c r="A872" s="6" t="str">
        <f t="shared" si="167"/>
        <v>fragment</v>
      </c>
      <c r="B872" s="6" t="s">
        <v>803</v>
      </c>
      <c r="C872" s="6" t="str">
        <f t="shared" si="168"/>
        <v>HC62 428</v>
      </c>
      <c r="D872" s="6" t="s">
        <v>795</v>
      </c>
      <c r="E872" s="20">
        <v>428</v>
      </c>
      <c r="F872" s="6" t="s">
        <v>154</v>
      </c>
      <c r="G872" s="6" t="s">
        <v>811</v>
      </c>
      <c r="H872" s="6" t="s">
        <v>979</v>
      </c>
      <c r="I872" s="6" t="s">
        <v>20</v>
      </c>
      <c r="J872" s="29"/>
      <c r="K872" s="8" t="str">
        <f t="shared" si="169"/>
        <v/>
      </c>
      <c r="L872" s="8" t="str">
        <f t="shared" si="170"/>
        <v/>
      </c>
      <c r="M872" s="8">
        <v>0.89100000000000001</v>
      </c>
      <c r="N872" s="8">
        <f>0.38+0.834+0.856+0.604</f>
        <v>2.6739999999999999</v>
      </c>
      <c r="O872" s="8">
        <v>1.373</v>
      </c>
      <c r="P872" s="8">
        <f>0.179+0.853+1.023+1.075+0.49</f>
        <v>3.62</v>
      </c>
      <c r="Q872" s="8">
        <v>1.621</v>
      </c>
      <c r="R872" s="8">
        <f>0.771+1.304+1.188+0.567</f>
        <v>3.83</v>
      </c>
      <c r="S872" s="8">
        <v>1.17</v>
      </c>
      <c r="T872" s="8">
        <f>0.527+0.938+0.859+0.321</f>
        <v>2.645</v>
      </c>
      <c r="U872" s="8">
        <f>N872/M872</f>
        <v>3.0011223344556677</v>
      </c>
      <c r="V872" s="8">
        <f t="shared" si="177"/>
        <v>2.6365622723962128</v>
      </c>
      <c r="W872" s="8">
        <f t="shared" si="178"/>
        <v>2.362739049969155</v>
      </c>
      <c r="X872" s="8">
        <f>T872/S872</f>
        <v>2.2606837606837606</v>
      </c>
      <c r="Y872" s="31">
        <f t="shared" si="171"/>
        <v>-0.40913424267959375</v>
      </c>
      <c r="Z872" s="31">
        <f t="shared" si="172"/>
        <v>-0.40913424267959375</v>
      </c>
      <c r="AA872" s="31" t="str">
        <f t="shared" si="173"/>
        <v/>
      </c>
    </row>
    <row r="873" spans="1:27" x14ac:dyDescent="0.25">
      <c r="A873" s="6" t="str">
        <f t="shared" si="167"/>
        <v>fragment</v>
      </c>
      <c r="B873" s="6" t="s">
        <v>803</v>
      </c>
      <c r="C873" s="6" t="str">
        <f t="shared" si="168"/>
        <v>HC62 428</v>
      </c>
      <c r="D873" s="6" t="s">
        <v>795</v>
      </c>
      <c r="E873" s="20">
        <v>428</v>
      </c>
      <c r="F873" s="6" t="s">
        <v>154</v>
      </c>
      <c r="G873" s="6" t="s">
        <v>812</v>
      </c>
      <c r="H873" s="6" t="s">
        <v>979</v>
      </c>
      <c r="I873" s="6" t="s">
        <v>20</v>
      </c>
      <c r="J873" s="29"/>
      <c r="K873" s="8" t="str">
        <f t="shared" si="169"/>
        <v/>
      </c>
      <c r="L873" s="8" t="str">
        <f t="shared" si="170"/>
        <v/>
      </c>
      <c r="M873" s="8"/>
      <c r="N873" s="8"/>
      <c r="O873" s="8">
        <v>2.8570000000000002</v>
      </c>
      <c r="P873" s="8">
        <f>0.858+1.259+1.481+0.949</f>
        <v>4.5469999999999997</v>
      </c>
      <c r="Q873" s="8">
        <v>1.9540000000000002</v>
      </c>
      <c r="R873" s="8">
        <f>1.051+1.989+1.048</f>
        <v>4.0880000000000001</v>
      </c>
      <c r="S873" s="8">
        <v>2.3439999999999999</v>
      </c>
      <c r="T873" s="8">
        <f>0.67+1.614+1.625+1.077+0.52</f>
        <v>5.5060000000000002</v>
      </c>
      <c r="U873" s="8"/>
      <c r="V873" s="8">
        <f t="shared" si="177"/>
        <v>1.5915295764788238</v>
      </c>
      <c r="W873" s="8">
        <f t="shared" si="178"/>
        <v>2.0921187308085978</v>
      </c>
      <c r="X873" s="8">
        <f>T873/S873</f>
        <v>2.3489761092150174</v>
      </c>
      <c r="Y873" s="31">
        <f t="shared" si="171"/>
        <v>-0.30338503281818913</v>
      </c>
      <c r="Z873" s="31">
        <f t="shared" si="172"/>
        <v>-0.30338503281818913</v>
      </c>
      <c r="AA873" s="31" t="str">
        <f t="shared" si="173"/>
        <v/>
      </c>
    </row>
    <row r="874" spans="1:27" x14ac:dyDescent="0.25">
      <c r="A874" s="6" t="str">
        <f t="shared" si="167"/>
        <v>fragment</v>
      </c>
      <c r="B874" s="6" t="s">
        <v>803</v>
      </c>
      <c r="C874" s="6" t="str">
        <f t="shared" si="168"/>
        <v>HC62 428</v>
      </c>
      <c r="D874" s="6" t="s">
        <v>795</v>
      </c>
      <c r="E874" s="20">
        <v>428</v>
      </c>
      <c r="F874" s="6" t="s">
        <v>154</v>
      </c>
      <c r="G874" s="6" t="s">
        <v>813</v>
      </c>
      <c r="H874" s="6" t="s">
        <v>979</v>
      </c>
      <c r="I874" s="6" t="s">
        <v>20</v>
      </c>
      <c r="J874" s="29"/>
      <c r="K874" s="8" t="str">
        <f t="shared" si="169"/>
        <v/>
      </c>
      <c r="L874" s="8" t="str">
        <f t="shared" si="170"/>
        <v/>
      </c>
      <c r="M874" s="8"/>
      <c r="N874" s="8"/>
      <c r="O874" s="8">
        <v>5.5350000000000001</v>
      </c>
      <c r="P874" s="8">
        <f>1.691+0.849+1.625+1.128+1.584+1.502+0.439</f>
        <v>8.8180000000000014</v>
      </c>
      <c r="Q874" s="8">
        <v>3.5979999999999999</v>
      </c>
      <c r="R874" s="8">
        <f>1.224+1.412+1.513+0.95</f>
        <v>5.0990000000000002</v>
      </c>
      <c r="S874" s="8">
        <v>3.31</v>
      </c>
      <c r="T874" s="8">
        <f>1.267+1.431+1.598+0.835</f>
        <v>5.1310000000000002</v>
      </c>
      <c r="U874" s="8"/>
      <c r="V874" s="8">
        <f t="shared" si="177"/>
        <v>1.593134598012647</v>
      </c>
      <c r="W874" s="8">
        <f t="shared" si="178"/>
        <v>1.4171762090050029</v>
      </c>
      <c r="X874" s="8">
        <f>T874/S874</f>
        <v>1.5501510574018127</v>
      </c>
      <c r="Y874" s="31">
        <f t="shared" si="171"/>
        <v>-0.18188757369284389</v>
      </c>
      <c r="Z874" s="31">
        <f t="shared" si="172"/>
        <v>-0.18188757369284389</v>
      </c>
      <c r="AA874" s="31" t="str">
        <f t="shared" si="173"/>
        <v/>
      </c>
    </row>
    <row r="875" spans="1:27" x14ac:dyDescent="0.25">
      <c r="A875" s="6" t="str">
        <f t="shared" si="167"/>
        <v>complete</v>
      </c>
      <c r="B875" s="6" t="s">
        <v>803</v>
      </c>
      <c r="C875" s="6" t="str">
        <f t="shared" si="168"/>
        <v>HC62 428</v>
      </c>
      <c r="D875" s="6" t="s">
        <v>795</v>
      </c>
      <c r="E875" s="20">
        <v>428</v>
      </c>
      <c r="F875" s="6" t="s">
        <v>154</v>
      </c>
      <c r="G875" s="6" t="s">
        <v>814</v>
      </c>
      <c r="H875" s="6" t="s">
        <v>979</v>
      </c>
      <c r="I875" s="6" t="s">
        <v>20</v>
      </c>
      <c r="J875" s="29">
        <v>23.222999999999999</v>
      </c>
      <c r="K875" s="8">
        <f t="shared" si="169"/>
        <v>1.3659183221763431</v>
      </c>
      <c r="L875" s="8">
        <f t="shared" si="170"/>
        <v>7.7503133528787771</v>
      </c>
      <c r="M875" s="8"/>
      <c r="N875" s="8"/>
      <c r="O875" s="8">
        <v>3.8439999999999999</v>
      </c>
      <c r="P875" s="8">
        <f>1.142+2.182+1.033</f>
        <v>4.3569999999999993</v>
      </c>
      <c r="Q875" s="8">
        <v>4.0510000000000002</v>
      </c>
      <c r="R875" s="8">
        <f>0.813+1.468+1.596+0.49</f>
        <v>4.367</v>
      </c>
      <c r="S875" s="8"/>
      <c r="T875" s="8"/>
      <c r="U875" s="8"/>
      <c r="V875" s="8">
        <f t="shared" si="177"/>
        <v>1.1334547346514046</v>
      </c>
      <c r="W875" s="8">
        <f t="shared" si="178"/>
        <v>1.0780054307578375</v>
      </c>
      <c r="X875" s="8"/>
      <c r="Y875" s="31">
        <f t="shared" si="171"/>
        <v>-4.3649125252238574E-2</v>
      </c>
      <c r="Z875" s="31" t="str">
        <f t="shared" si="172"/>
        <v/>
      </c>
      <c r="AA875" s="31">
        <f t="shared" si="173"/>
        <v>-4.3649125252238574E-2</v>
      </c>
    </row>
    <row r="876" spans="1:27" x14ac:dyDescent="0.25">
      <c r="A876" s="6" t="str">
        <f t="shared" si="167"/>
        <v>fragment</v>
      </c>
      <c r="B876" s="6" t="s">
        <v>803</v>
      </c>
      <c r="C876" s="6" t="str">
        <f t="shared" si="168"/>
        <v>HC62 517</v>
      </c>
      <c r="D876" s="6" t="s">
        <v>795</v>
      </c>
      <c r="E876" s="20">
        <v>517</v>
      </c>
      <c r="F876" s="6" t="s">
        <v>161</v>
      </c>
      <c r="G876" s="6" t="s">
        <v>834</v>
      </c>
      <c r="H876" s="6" t="s">
        <v>977</v>
      </c>
      <c r="I876" s="6" t="s">
        <v>20</v>
      </c>
      <c r="J876" s="29"/>
      <c r="K876" s="8" t="str">
        <f t="shared" si="169"/>
        <v/>
      </c>
      <c r="L876" s="8" t="str">
        <f t="shared" si="170"/>
        <v/>
      </c>
      <c r="M876" s="8"/>
      <c r="N876" s="8"/>
      <c r="O876" s="8">
        <v>0.66600000000000004</v>
      </c>
      <c r="P876" s="8">
        <f>0.532+0.894+0.809+0.735+0.242</f>
        <v>3.2120000000000002</v>
      </c>
      <c r="Q876" s="8"/>
      <c r="R876" s="8"/>
      <c r="S876" s="8">
        <v>0.58899999999999997</v>
      </c>
      <c r="T876" s="8">
        <f>0.463+0.84+0.83+0.641+0.412</f>
        <v>3.1859999999999999</v>
      </c>
      <c r="U876" s="8"/>
      <c r="V876" s="8">
        <f t="shared" si="177"/>
        <v>4.8228228228228227</v>
      </c>
      <c r="W876" s="8"/>
      <c r="X876" s="8">
        <f>T876/S876</f>
        <v>5.4091680814940579</v>
      </c>
      <c r="Y876" s="31">
        <f t="shared" si="171"/>
        <v>-0.70893014974262658</v>
      </c>
      <c r="Z876" s="31">
        <f t="shared" si="172"/>
        <v>-0.70893014974262658</v>
      </c>
      <c r="AA876" s="31" t="str">
        <f t="shared" si="173"/>
        <v/>
      </c>
    </row>
    <row r="877" spans="1:27" x14ac:dyDescent="0.25">
      <c r="A877" s="6" t="str">
        <f t="shared" si="167"/>
        <v>complete</v>
      </c>
      <c r="B877" s="6" t="s">
        <v>803</v>
      </c>
      <c r="C877" s="6" t="str">
        <f t="shared" si="168"/>
        <v>HC62 517</v>
      </c>
      <c r="D877" s="6" t="s">
        <v>795</v>
      </c>
      <c r="E877" s="20">
        <v>517</v>
      </c>
      <c r="F877" s="6" t="s">
        <v>161</v>
      </c>
      <c r="G877" s="6" t="s">
        <v>835</v>
      </c>
      <c r="H877" s="6" t="s">
        <v>977</v>
      </c>
      <c r="I877" s="6" t="s">
        <v>20</v>
      </c>
      <c r="J877" s="29">
        <v>19.602</v>
      </c>
      <c r="K877" s="8">
        <f t="shared" si="169"/>
        <v>1.2923003848590811</v>
      </c>
      <c r="L877" s="8">
        <f t="shared" si="170"/>
        <v>7.5808017878350791</v>
      </c>
      <c r="M877" s="8">
        <v>1.2310000000000001</v>
      </c>
      <c r="N877" s="8">
        <f>0.431+1.113+0.76</f>
        <v>2.3040000000000003</v>
      </c>
      <c r="O877" s="8">
        <v>1.27</v>
      </c>
      <c r="P877" s="8">
        <f>0.234+0.906+0.838+0.845+0.268</f>
        <v>3.0910000000000002</v>
      </c>
      <c r="Q877" s="8">
        <v>1.0760000000000001</v>
      </c>
      <c r="R877" s="8">
        <f>0.272+0.655+0.621+0.597+0.319+0.591</f>
        <v>3.0549999999999997</v>
      </c>
      <c r="S877" s="8">
        <v>0.76100000000000001</v>
      </c>
      <c r="T877" s="8">
        <f>0.36+0.54+0.56+0.564</f>
        <v>2.024</v>
      </c>
      <c r="U877" s="8">
        <f>(N877/M877)</f>
        <v>1.8716490658001625</v>
      </c>
      <c r="V877" s="8">
        <f t="shared" si="177"/>
        <v>2.4338582677165355</v>
      </c>
      <c r="W877" s="8">
        <f>(R877/Q877)</f>
        <v>2.839219330855018</v>
      </c>
      <c r="X877" s="8">
        <f>T877/S877</f>
        <v>2.6596583442838369</v>
      </c>
      <c r="Y877" s="31">
        <f t="shared" si="171"/>
        <v>-0.38936036590849549</v>
      </c>
      <c r="Z877" s="31" t="str">
        <f t="shared" si="172"/>
        <v/>
      </c>
      <c r="AA877" s="31">
        <f t="shared" si="173"/>
        <v>-0.38936036590849549</v>
      </c>
    </row>
    <row r="878" spans="1:27" x14ac:dyDescent="0.25">
      <c r="A878" s="6" t="str">
        <f t="shared" si="167"/>
        <v>fragment</v>
      </c>
      <c r="B878" s="6" t="s">
        <v>803</v>
      </c>
      <c r="C878" s="6" t="str">
        <f t="shared" si="168"/>
        <v>HC62 517</v>
      </c>
      <c r="D878" s="6" t="s">
        <v>795</v>
      </c>
      <c r="E878" s="20">
        <v>517</v>
      </c>
      <c r="F878" s="6" t="s">
        <v>161</v>
      </c>
      <c r="G878" s="6" t="s">
        <v>836</v>
      </c>
      <c r="H878" s="6" t="s">
        <v>977</v>
      </c>
      <c r="I878" s="6" t="s">
        <v>20</v>
      </c>
      <c r="J878" s="29"/>
      <c r="K878" s="8" t="str">
        <f t="shared" si="169"/>
        <v/>
      </c>
      <c r="L878" s="8" t="str">
        <f t="shared" si="170"/>
        <v/>
      </c>
      <c r="M878" s="8"/>
      <c r="N878" s="8"/>
      <c r="O878" s="8"/>
      <c r="P878" s="8"/>
      <c r="Q878" s="8">
        <v>1.222</v>
      </c>
      <c r="R878" s="8">
        <f>0.352+0.888+0.917+0.914+0.498</f>
        <v>3.569</v>
      </c>
      <c r="S878" s="8"/>
      <c r="T878" s="8"/>
      <c r="U878" s="8"/>
      <c r="V878" s="8"/>
      <c r="W878" s="8">
        <f>R878/Q878</f>
        <v>2.9206219312602291</v>
      </c>
      <c r="X878" s="8"/>
      <c r="Y878" s="31">
        <f t="shared" si="171"/>
        <v>-0.46547534204912494</v>
      </c>
      <c r="Z878" s="31">
        <f t="shared" si="172"/>
        <v>-0.46547534204912494</v>
      </c>
      <c r="AA878" s="31" t="str">
        <f t="shared" si="173"/>
        <v/>
      </c>
    </row>
    <row r="879" spans="1:27" x14ac:dyDescent="0.25">
      <c r="A879" s="6" t="str">
        <f t="shared" si="167"/>
        <v>fragment</v>
      </c>
      <c r="B879" s="6" t="s">
        <v>803</v>
      </c>
      <c r="C879" s="6" t="str">
        <f t="shared" si="168"/>
        <v>HC62 517</v>
      </c>
      <c r="D879" s="6" t="s">
        <v>795</v>
      </c>
      <c r="E879" s="20">
        <v>517</v>
      </c>
      <c r="F879" s="6" t="s">
        <v>161</v>
      </c>
      <c r="G879" s="6" t="s">
        <v>837</v>
      </c>
      <c r="H879" s="6" t="s">
        <v>977</v>
      </c>
      <c r="I879" s="6" t="s">
        <v>20</v>
      </c>
      <c r="J879" s="29"/>
      <c r="K879" s="8" t="str">
        <f t="shared" si="169"/>
        <v/>
      </c>
      <c r="L879" s="8" t="str">
        <f t="shared" si="170"/>
        <v/>
      </c>
      <c r="M879" s="8"/>
      <c r="N879" s="8"/>
      <c r="O879" s="8">
        <v>1.54</v>
      </c>
      <c r="P879" s="8">
        <f>0.844+1.356+1.242+0.381+0.291</f>
        <v>4.1140000000000008</v>
      </c>
      <c r="Q879" s="8">
        <f>V879/P879</f>
        <v>0.64935064935064934</v>
      </c>
      <c r="R879" s="8"/>
      <c r="S879" s="8">
        <v>1.0940000000000001</v>
      </c>
      <c r="T879" s="8">
        <f>0.384+0.533+1.041+0.827+0.46</f>
        <v>3.2450000000000001</v>
      </c>
      <c r="U879" s="8"/>
      <c r="V879" s="8">
        <f>P879/O879</f>
        <v>2.6714285714285717</v>
      </c>
      <c r="W879" s="8"/>
      <c r="X879" s="8">
        <f>T879/S879</f>
        <v>2.9661791590493598</v>
      </c>
      <c r="Y879" s="31">
        <f t="shared" si="171"/>
        <v>-0.45006485834488558</v>
      </c>
      <c r="Z879" s="31">
        <f t="shared" si="172"/>
        <v>-0.45006485834488558</v>
      </c>
      <c r="AA879" s="31" t="str">
        <f t="shared" si="173"/>
        <v/>
      </c>
    </row>
    <row r="880" spans="1:27" x14ac:dyDescent="0.25">
      <c r="A880" s="6" t="str">
        <f t="shared" si="167"/>
        <v>complete</v>
      </c>
      <c r="B880" s="6" t="s">
        <v>803</v>
      </c>
      <c r="C880" s="6" t="str">
        <f t="shared" si="168"/>
        <v>HC62 517</v>
      </c>
      <c r="D880" s="6" t="s">
        <v>795</v>
      </c>
      <c r="E880" s="20">
        <v>517</v>
      </c>
      <c r="F880" s="6" t="s">
        <v>161</v>
      </c>
      <c r="G880" s="6" t="s">
        <v>838</v>
      </c>
      <c r="H880" s="6" t="s">
        <v>977</v>
      </c>
      <c r="I880" s="6" t="s">
        <v>20</v>
      </c>
      <c r="J880" s="29">
        <v>9.6609999999999996</v>
      </c>
      <c r="K880" s="8">
        <f t="shared" si="169"/>
        <v>0.98502208210953512</v>
      </c>
      <c r="L880" s="8">
        <f t="shared" si="170"/>
        <v>6.8732673485234637</v>
      </c>
      <c r="M880" s="8">
        <v>1.0329999999999999</v>
      </c>
      <c r="N880" s="8">
        <f>0.201+0.947+1.195+0.642</f>
        <v>2.9849999999999999</v>
      </c>
      <c r="O880" s="8">
        <v>1.5030000000000001</v>
      </c>
      <c r="P880" s="8">
        <f>0.506+1.158+1.015+0.85+0.782+0.269</f>
        <v>4.58</v>
      </c>
      <c r="Q880" s="8">
        <v>0.64</v>
      </c>
      <c r="R880" s="8">
        <f>0.219+0.692+0.624</f>
        <v>1.5349999999999999</v>
      </c>
      <c r="S880" s="8"/>
      <c r="T880" s="8"/>
      <c r="U880" s="8">
        <f>N880/M880</f>
        <v>2.8896418199419167</v>
      </c>
      <c r="V880" s="8">
        <f>P880/O880</f>
        <v>3.0472388556220888</v>
      </c>
      <c r="W880" s="8">
        <f>R880/Q880</f>
        <v>2.3984375</v>
      </c>
      <c r="X880" s="8"/>
      <c r="Y880" s="31">
        <f t="shared" si="171"/>
        <v>-0.44380092763924495</v>
      </c>
      <c r="Z880" s="31" t="str">
        <f t="shared" si="172"/>
        <v/>
      </c>
      <c r="AA880" s="31">
        <f t="shared" si="173"/>
        <v>-0.44380092763924495</v>
      </c>
    </row>
    <row r="881" spans="1:27" x14ac:dyDescent="0.25">
      <c r="A881" s="6" t="str">
        <f t="shared" si="167"/>
        <v>fragment</v>
      </c>
      <c r="B881" s="6" t="s">
        <v>803</v>
      </c>
      <c r="C881" s="6" t="str">
        <f t="shared" si="168"/>
        <v>HC62 517</v>
      </c>
      <c r="D881" s="6" t="s">
        <v>795</v>
      </c>
      <c r="E881" s="20">
        <v>517</v>
      </c>
      <c r="F881" s="6" t="s">
        <v>161</v>
      </c>
      <c r="G881" s="6" t="s">
        <v>839</v>
      </c>
      <c r="H881" s="6" t="s">
        <v>977</v>
      </c>
      <c r="I881" s="6" t="s">
        <v>20</v>
      </c>
      <c r="J881" s="29"/>
      <c r="K881" s="8" t="str">
        <f t="shared" si="169"/>
        <v/>
      </c>
      <c r="L881" s="8" t="str">
        <f t="shared" si="170"/>
        <v/>
      </c>
      <c r="M881" s="8">
        <v>0.433</v>
      </c>
      <c r="N881" s="8">
        <f>0.235+0.904+0.609+0.176</f>
        <v>1.9239999999999999</v>
      </c>
      <c r="O881" s="8">
        <v>0.79300000000000004</v>
      </c>
      <c r="P881" s="8">
        <f>0.367+0.741+0.817+0.505</f>
        <v>2.4300000000000002</v>
      </c>
      <c r="Q881" s="8">
        <v>0.76700000000000002</v>
      </c>
      <c r="R881" s="8">
        <f>0.187+0.571+0.706+0.737+0.485</f>
        <v>2.6859999999999999</v>
      </c>
      <c r="S881" s="8">
        <v>1.2869999999999999</v>
      </c>
      <c r="T881" s="8">
        <f>0.211+0.796+0.993+1.09+0.98+0.409</f>
        <v>4.4790000000000001</v>
      </c>
      <c r="U881" s="8">
        <f>N881/M881</f>
        <v>4.4434180138568129</v>
      </c>
      <c r="V881" s="8">
        <f>P881/O881</f>
        <v>3.0643127364438842</v>
      </c>
      <c r="W881" s="8">
        <f>R881/Q881</f>
        <v>3.5019556714471967</v>
      </c>
      <c r="X881" s="8">
        <f>T881/S881</f>
        <v>3.4801864801864806</v>
      </c>
      <c r="Y881" s="31">
        <f t="shared" si="171"/>
        <v>-0.55900458474151127</v>
      </c>
      <c r="Z881" s="31">
        <f t="shared" si="172"/>
        <v>-0.55900458474151127</v>
      </c>
      <c r="AA881" s="31" t="str">
        <f t="shared" si="173"/>
        <v/>
      </c>
    </row>
    <row r="882" spans="1:27" x14ac:dyDescent="0.25">
      <c r="A882" s="6" t="str">
        <f t="shared" si="167"/>
        <v>complete</v>
      </c>
      <c r="B882" s="6" t="s">
        <v>803</v>
      </c>
      <c r="C882" s="6" t="str">
        <f t="shared" si="168"/>
        <v>HC62 517</v>
      </c>
      <c r="D882" s="6" t="s">
        <v>795</v>
      </c>
      <c r="E882" s="20">
        <v>517</v>
      </c>
      <c r="F882" s="6" t="s">
        <v>161</v>
      </c>
      <c r="G882" s="6" t="s">
        <v>840</v>
      </c>
      <c r="H882" s="6" t="s">
        <v>977</v>
      </c>
      <c r="I882" s="6" t="s">
        <v>20</v>
      </c>
      <c r="J882" s="29">
        <v>21.483000000000001</v>
      </c>
      <c r="K882" s="8">
        <f t="shared" si="169"/>
        <v>1.3320949284460795</v>
      </c>
      <c r="L882" s="8">
        <f t="shared" si="170"/>
        <v>7.6724321106810036</v>
      </c>
      <c r="M882" s="8">
        <v>1.181</v>
      </c>
      <c r="N882" s="8">
        <v>2.879</v>
      </c>
      <c r="O882" s="8">
        <v>1.141</v>
      </c>
      <c r="P882" s="8">
        <v>2.7320000000000002</v>
      </c>
      <c r="Q882" s="8">
        <v>1.147</v>
      </c>
      <c r="R882" s="8">
        <v>3.4969999999999999</v>
      </c>
      <c r="S882" s="8">
        <v>1.02</v>
      </c>
      <c r="T882" s="8">
        <v>2.6589999999999998</v>
      </c>
      <c r="U882" s="8">
        <f>(N882/M882)</f>
        <v>2.4377646062658762</v>
      </c>
      <c r="V882" s="8">
        <f>(P882/O882)</f>
        <v>2.3943908851884315</v>
      </c>
      <c r="W882" s="8">
        <f>(R882/Q882)</f>
        <v>3.0488230165649517</v>
      </c>
      <c r="X882" s="8">
        <f>(T882/S882)</f>
        <v>2.6068627450980388</v>
      </c>
      <c r="Y882" s="31">
        <f t="shared" si="171"/>
        <v>-0.41862611380172537</v>
      </c>
      <c r="Z882" s="31" t="str">
        <f t="shared" si="172"/>
        <v/>
      </c>
      <c r="AA882" s="31">
        <f t="shared" si="173"/>
        <v>-0.41862611380172537</v>
      </c>
    </row>
    <row r="883" spans="1:27" x14ac:dyDescent="0.25">
      <c r="A883" s="6" t="str">
        <f t="shared" si="167"/>
        <v>complete</v>
      </c>
      <c r="B883" s="6" t="s">
        <v>803</v>
      </c>
      <c r="C883" s="6" t="str">
        <f t="shared" si="168"/>
        <v>HC62 517</v>
      </c>
      <c r="D883" s="6" t="s">
        <v>795</v>
      </c>
      <c r="E883" s="20">
        <v>517</v>
      </c>
      <c r="F883" s="6" t="s">
        <v>161</v>
      </c>
      <c r="G883" s="6" t="s">
        <v>841</v>
      </c>
      <c r="H883" s="6" t="s">
        <v>977</v>
      </c>
      <c r="I883" s="6" t="s">
        <v>20</v>
      </c>
      <c r="J883" s="29">
        <f>12.691*2</f>
        <v>25.382000000000001</v>
      </c>
      <c r="K883" s="8">
        <f t="shared" si="169"/>
        <v>1.4045258397737468</v>
      </c>
      <c r="L883" s="8">
        <f t="shared" si="170"/>
        <v>7.8392104473760638</v>
      </c>
      <c r="M883" s="8">
        <v>2.3639999999999999</v>
      </c>
      <c r="N883" s="8">
        <f>0.316+1.006+1.05+1.077+1.251+0.596</f>
        <v>5.2959999999999994</v>
      </c>
      <c r="O883" s="8">
        <v>1.534</v>
      </c>
      <c r="P883" s="8">
        <f>0.431+0.73+0.784+0.821+0.451</f>
        <v>3.2170000000000001</v>
      </c>
      <c r="Q883" s="8">
        <v>2.1349999999999998</v>
      </c>
      <c r="R883" s="8">
        <f>0.808+0.808+0.831+0.848+0.862+0.902</f>
        <v>5.0590000000000002</v>
      </c>
      <c r="S883" s="8"/>
      <c r="T883" s="8"/>
      <c r="U883" s="8">
        <f>N883/M883</f>
        <v>2.2402707275803722</v>
      </c>
      <c r="V883" s="8">
        <f>P883/O883</f>
        <v>2.0971316818774448</v>
      </c>
      <c r="W883" s="8">
        <f>R883/Q883</f>
        <v>2.3695550351288057</v>
      </c>
      <c r="X883" s="8"/>
      <c r="Y883" s="31">
        <f t="shared" si="171"/>
        <v>-0.34940429604624068</v>
      </c>
      <c r="Z883" s="31" t="str">
        <f t="shared" si="172"/>
        <v/>
      </c>
      <c r="AA883" s="31">
        <f t="shared" si="173"/>
        <v>-0.34940429604624068</v>
      </c>
    </row>
    <row r="884" spans="1:27" x14ac:dyDescent="0.25">
      <c r="A884" s="6" t="str">
        <f t="shared" si="167"/>
        <v>complete</v>
      </c>
      <c r="B884" s="6" t="s">
        <v>803</v>
      </c>
      <c r="C884" s="6" t="str">
        <f t="shared" si="168"/>
        <v>HC62 517</v>
      </c>
      <c r="D884" s="6" t="s">
        <v>795</v>
      </c>
      <c r="E884" s="20">
        <v>517</v>
      </c>
      <c r="F884" s="6" t="s">
        <v>161</v>
      </c>
      <c r="G884" s="6" t="s">
        <v>842</v>
      </c>
      <c r="H884" s="6" t="s">
        <v>977</v>
      </c>
      <c r="I884" s="6" t="s">
        <v>20</v>
      </c>
      <c r="J884" s="29">
        <f>8.933*2</f>
        <v>17.866</v>
      </c>
      <c r="K884" s="8">
        <f t="shared" si="169"/>
        <v>1.2520273296527862</v>
      </c>
      <c r="L884" s="8">
        <f t="shared" si="170"/>
        <v>7.4880696512677387</v>
      </c>
      <c r="M884" s="8">
        <v>1.0649999999999999</v>
      </c>
      <c r="N884" s="8">
        <f>0.451+0.777+0.727+0.73+0.773+0.362</f>
        <v>3.8200000000000003</v>
      </c>
      <c r="O884" s="8">
        <v>0.68500000000000005</v>
      </c>
      <c r="P884" s="8">
        <f>0.551+0.544+0.555+0.272</f>
        <v>1.9220000000000004</v>
      </c>
      <c r="Q884" s="8">
        <v>1.2250000000000001</v>
      </c>
      <c r="R884" s="8">
        <f>0.48+0.741+0.705+0.73+0.709</f>
        <v>3.3650000000000002</v>
      </c>
      <c r="S884" s="8"/>
      <c r="T884" s="8"/>
      <c r="U884" s="8">
        <f>N884/M884</f>
        <v>3.586854460093897</v>
      </c>
      <c r="V884" s="8">
        <f>P884/O884</f>
        <v>2.8058394160583946</v>
      </c>
      <c r="W884" s="8">
        <f>R884/Q884</f>
        <v>2.7469387755102042</v>
      </c>
      <c r="X884" s="8"/>
      <c r="Y884" s="31">
        <f t="shared" si="171"/>
        <v>-0.48380748581044841</v>
      </c>
      <c r="Z884" s="31" t="str">
        <f t="shared" si="172"/>
        <v/>
      </c>
      <c r="AA884" s="31">
        <f t="shared" si="173"/>
        <v>-0.48380748581044841</v>
      </c>
    </row>
    <row r="885" spans="1:27" x14ac:dyDescent="0.25">
      <c r="A885" s="6" t="str">
        <f t="shared" si="167"/>
        <v>fragment</v>
      </c>
      <c r="B885" s="6" t="s">
        <v>803</v>
      </c>
      <c r="C885" s="6" t="str">
        <f t="shared" si="168"/>
        <v>HC62 517</v>
      </c>
      <c r="D885" s="6" t="s">
        <v>795</v>
      </c>
      <c r="E885" s="20">
        <v>517</v>
      </c>
      <c r="F885" s="6" t="s">
        <v>161</v>
      </c>
      <c r="G885" s="6" t="s">
        <v>843</v>
      </c>
      <c r="H885" s="6" t="s">
        <v>977</v>
      </c>
      <c r="I885" s="6" t="s">
        <v>20</v>
      </c>
      <c r="J885" s="29"/>
      <c r="K885" s="8" t="str">
        <f t="shared" si="169"/>
        <v/>
      </c>
      <c r="L885" s="8" t="str">
        <f t="shared" si="170"/>
        <v/>
      </c>
      <c r="M885" s="8">
        <v>0.69200000000000006</v>
      </c>
      <c r="N885" s="8">
        <f>0.583+0.632+0.525</f>
        <v>1.7399999999999998</v>
      </c>
      <c r="O885" s="8">
        <v>1.282</v>
      </c>
      <c r="P885" s="8">
        <f>0.61+1.031+0.872+0.321</f>
        <v>2.8340000000000001</v>
      </c>
      <c r="Q885" s="8">
        <v>1.6850000000000001</v>
      </c>
      <c r="R885" s="8">
        <f>0.333+0.953+0.898+0.89+0.88+0.536</f>
        <v>4.49</v>
      </c>
      <c r="S885" s="8"/>
      <c r="T885" s="8"/>
      <c r="U885" s="8">
        <f>N885/M885</f>
        <v>2.5144508670520227</v>
      </c>
      <c r="V885" s="8">
        <f>P885/O885</f>
        <v>2.2106084243369737</v>
      </c>
      <c r="W885" s="8">
        <f>R885/Q885</f>
        <v>2.6646884272997031</v>
      </c>
      <c r="X885" s="8"/>
      <c r="Y885" s="31">
        <f t="shared" si="171"/>
        <v>-0.3915083573894268</v>
      </c>
      <c r="Z885" s="31">
        <f t="shared" si="172"/>
        <v>-0.3915083573894268</v>
      </c>
      <c r="AA885" s="31" t="str">
        <f t="shared" si="173"/>
        <v/>
      </c>
    </row>
    <row r="886" spans="1:27" x14ac:dyDescent="0.25">
      <c r="A886" s="6" t="str">
        <f t="shared" si="167"/>
        <v>fragment</v>
      </c>
      <c r="B886" s="6" t="s">
        <v>803</v>
      </c>
      <c r="C886" s="6" t="str">
        <f t="shared" si="168"/>
        <v>HC62 517</v>
      </c>
      <c r="D886" s="6" t="s">
        <v>795</v>
      </c>
      <c r="E886" s="20">
        <v>517</v>
      </c>
      <c r="F886" s="6" t="s">
        <v>161</v>
      </c>
      <c r="G886" s="6" t="s">
        <v>844</v>
      </c>
      <c r="H886" s="6" t="s">
        <v>977</v>
      </c>
      <c r="I886" s="6" t="s">
        <v>20</v>
      </c>
      <c r="J886" s="29"/>
      <c r="K886" s="8" t="str">
        <f t="shared" si="169"/>
        <v/>
      </c>
      <c r="L886" s="8" t="str">
        <f t="shared" si="170"/>
        <v/>
      </c>
      <c r="M886" s="8">
        <v>1.6259999999999999</v>
      </c>
      <c r="N886" s="8">
        <f>0.761+0.789+0.866+0.987+0.615</f>
        <v>4.0179999999999998</v>
      </c>
      <c r="O886" s="8">
        <v>3.984</v>
      </c>
      <c r="P886" s="8">
        <f>0.814+1.454+1.405+1.401+1.491+1.498+1.241+0.285</f>
        <v>9.5889999999999986</v>
      </c>
      <c r="Q886" s="8"/>
      <c r="R886" s="8"/>
      <c r="S886" s="8">
        <v>1.115</v>
      </c>
      <c r="T886" s="8">
        <f>0.407+0.703+0.733+0.504</f>
        <v>2.347</v>
      </c>
      <c r="U886" s="8">
        <f>N886/M886</f>
        <v>2.4710947109471095</v>
      </c>
      <c r="V886" s="8">
        <f>P886/O886</f>
        <v>2.4068775100401605</v>
      </c>
      <c r="W886" s="8"/>
      <c r="X886" s="8">
        <f>T886/S886</f>
        <v>2.1049327354260088</v>
      </c>
      <c r="Y886" s="31">
        <f t="shared" si="171"/>
        <v>-0.36691487622495428</v>
      </c>
      <c r="Z886" s="31">
        <f t="shared" si="172"/>
        <v>-0.36691487622495428</v>
      </c>
      <c r="AA886" s="31" t="str">
        <f t="shared" si="173"/>
        <v/>
      </c>
    </row>
    <row r="887" spans="1:27" x14ac:dyDescent="0.25">
      <c r="A887" s="6" t="str">
        <f t="shared" si="167"/>
        <v>complete</v>
      </c>
      <c r="B887" s="6" t="s">
        <v>803</v>
      </c>
      <c r="C887" s="6" t="str">
        <f t="shared" si="168"/>
        <v>HC62 517</v>
      </c>
      <c r="D887" s="6" t="s">
        <v>795</v>
      </c>
      <c r="E887" s="20">
        <v>517</v>
      </c>
      <c r="F887" s="6" t="s">
        <v>161</v>
      </c>
      <c r="G887" s="6" t="s">
        <v>845</v>
      </c>
      <c r="H887" s="6" t="s">
        <v>977</v>
      </c>
      <c r="I887" s="6" t="s">
        <v>20</v>
      </c>
      <c r="J887" s="29">
        <v>14.285</v>
      </c>
      <c r="K887" s="8">
        <f t="shared" si="169"/>
        <v>1.1548802447187618</v>
      </c>
      <c r="L887" s="8">
        <f t="shared" si="170"/>
        <v>7.2643802216708275</v>
      </c>
      <c r="M887" s="8">
        <v>1.0009999999999999</v>
      </c>
      <c r="N887" s="8">
        <v>2.3519999999999999</v>
      </c>
      <c r="O887" s="8">
        <v>1.244</v>
      </c>
      <c r="P887" s="8">
        <f>0.334+0.946+0.88+0.344</f>
        <v>2.504</v>
      </c>
      <c r="Q887" s="8">
        <v>1.0149999999999999</v>
      </c>
      <c r="R887" s="8">
        <v>2.262</v>
      </c>
      <c r="S887" s="8">
        <v>1.2010000000000001</v>
      </c>
      <c r="T887" s="8">
        <f>0.501+0.82+0.682+0.525</f>
        <v>2.528</v>
      </c>
      <c r="U887" s="8">
        <f>(N887/M887)</f>
        <v>2.3496503496503496</v>
      </c>
      <c r="V887" s="8">
        <f>(P887/O887)</f>
        <v>2.012861736334405</v>
      </c>
      <c r="W887" s="8">
        <f>(R887/Q887)</f>
        <v>2.2285714285714286</v>
      </c>
      <c r="X887" s="8">
        <f>(T887/S887)</f>
        <v>2.1049125728559535</v>
      </c>
      <c r="Y887" s="31">
        <f t="shared" si="171"/>
        <v>-0.33725934434828619</v>
      </c>
      <c r="Z887" s="31" t="str">
        <f t="shared" si="172"/>
        <v/>
      </c>
      <c r="AA887" s="31">
        <f t="shared" si="173"/>
        <v>-0.33725934434828619</v>
      </c>
    </row>
    <row r="888" spans="1:27" x14ac:dyDescent="0.25">
      <c r="A888" s="6" t="str">
        <f t="shared" si="167"/>
        <v>complete</v>
      </c>
      <c r="B888" s="6" t="s">
        <v>803</v>
      </c>
      <c r="C888" s="6" t="str">
        <f t="shared" si="168"/>
        <v>HC62 568</v>
      </c>
      <c r="D888" s="6" t="s">
        <v>795</v>
      </c>
      <c r="E888" s="20">
        <v>568</v>
      </c>
      <c r="G888" s="6" t="s">
        <v>848</v>
      </c>
      <c r="H888" s="6" t="s">
        <v>979</v>
      </c>
      <c r="I888" s="6" t="s">
        <v>20</v>
      </c>
      <c r="J888" s="29">
        <v>35.987000000000002</v>
      </c>
      <c r="K888" s="8">
        <f t="shared" si="169"/>
        <v>1.5561456438812908</v>
      </c>
      <c r="L888" s="8">
        <f t="shared" si="170"/>
        <v>8.1883279481167719</v>
      </c>
      <c r="M888" s="8">
        <v>1.631</v>
      </c>
      <c r="N888" s="8">
        <f>0.826 + 2.286 + 0.61</f>
        <v>3.722</v>
      </c>
      <c r="O888" s="8">
        <v>5.5209999999999999</v>
      </c>
      <c r="P888" s="8">
        <f>1.218 + 2.412 + 1.858 + 1.656 + 1.477 + 1.428 + 0.612</f>
        <v>10.661</v>
      </c>
      <c r="Q888" s="8">
        <v>0.74</v>
      </c>
      <c r="R888" s="8">
        <f>0.525 + 0.553 + 0.522 + 0.511 + 0.434</f>
        <v>2.5450000000000004</v>
      </c>
      <c r="S888" s="8">
        <v>3.22</v>
      </c>
      <c r="T888" s="8">
        <f>0.599 + 1.162 + 1.649 + 1.694 + 1.463 + 1.103</f>
        <v>7.67</v>
      </c>
      <c r="U888" s="8">
        <f>N888/M888</f>
        <v>2.2820355610055181</v>
      </c>
      <c r="V888" s="8">
        <f>P888/O888</f>
        <v>1.9309907625430176</v>
      </c>
      <c r="W888" s="8">
        <f>R888/Q888</f>
        <v>3.4391891891891899</v>
      </c>
      <c r="X888" s="8">
        <f>T888/S888</f>
        <v>2.3819875776397512</v>
      </c>
      <c r="Y888" s="31">
        <f t="shared" si="171"/>
        <v>-0.39942289549110477</v>
      </c>
      <c r="Z888" s="31" t="str">
        <f t="shared" si="172"/>
        <v/>
      </c>
      <c r="AA888" s="31">
        <f t="shared" si="173"/>
        <v>-0.39942289549110477</v>
      </c>
    </row>
    <row r="889" spans="1:27" x14ac:dyDescent="0.25">
      <c r="A889" s="6" t="str">
        <f t="shared" si="167"/>
        <v>complete</v>
      </c>
      <c r="B889" s="6" t="s">
        <v>803</v>
      </c>
      <c r="C889" s="6" t="str">
        <f t="shared" si="168"/>
        <v>HC62 87107</v>
      </c>
      <c r="D889" s="22" t="s">
        <v>795</v>
      </c>
      <c r="E889" s="20">
        <v>87107</v>
      </c>
      <c r="F889" s="22"/>
      <c r="G889" s="22" t="s">
        <v>1082</v>
      </c>
      <c r="H889" s="22"/>
      <c r="I889" s="6" t="s">
        <v>20</v>
      </c>
      <c r="J889" s="30">
        <f>15.364*2</f>
        <v>30.728000000000002</v>
      </c>
      <c r="K889" s="8">
        <f t="shared" si="169"/>
        <v>1.4875342941571197</v>
      </c>
      <c r="L889" s="8">
        <f t="shared" si="170"/>
        <v>8.0303444770316954</v>
      </c>
      <c r="M889" s="23">
        <v>2.423</v>
      </c>
      <c r="N889" s="23">
        <f>0.436+2.238+1.354+0.352</f>
        <v>4.3800000000000008</v>
      </c>
      <c r="O889" s="23">
        <v>1.9910000000000001</v>
      </c>
      <c r="P889" s="23">
        <f>0.364+1.311+1.648+0.797</f>
        <v>4.1199999999999992</v>
      </c>
      <c r="Q889" s="23">
        <v>1.7869999999999999</v>
      </c>
      <c r="R889" s="23">
        <f>0.073+0.757+1.258+1.238+0.643+0.074</f>
        <v>4.0430000000000001</v>
      </c>
      <c r="S889" s="8"/>
      <c r="T889" s="8"/>
      <c r="U889" s="8">
        <v>1.8076764341725138</v>
      </c>
      <c r="V889" s="8">
        <v>2.0693119035660468</v>
      </c>
      <c r="W889" s="8">
        <v>2.262451035254617</v>
      </c>
      <c r="X889" s="8"/>
      <c r="Y889" s="31">
        <f t="shared" si="171"/>
        <v>-0.31100746034141191</v>
      </c>
      <c r="Z889" s="31" t="str">
        <f t="shared" si="172"/>
        <v/>
      </c>
      <c r="AA889" s="31">
        <f t="shared" si="173"/>
        <v>-0.31100746034141191</v>
      </c>
    </row>
    <row r="890" spans="1:27" x14ac:dyDescent="0.25">
      <c r="A890" s="6" t="str">
        <f t="shared" si="167"/>
        <v>fragment</v>
      </c>
      <c r="B890" s="6" t="s">
        <v>803</v>
      </c>
      <c r="C890" s="6" t="str">
        <f t="shared" si="168"/>
        <v>HC62 87107</v>
      </c>
      <c r="D890" s="22" t="s">
        <v>795</v>
      </c>
      <c r="E890" s="20">
        <v>87107</v>
      </c>
      <c r="F890" s="22"/>
      <c r="G890" s="22" t="s">
        <v>1083</v>
      </c>
      <c r="H890" s="22"/>
      <c r="I890" s="6" t="s">
        <v>20</v>
      </c>
      <c r="J890" s="30"/>
      <c r="K890" s="8" t="str">
        <f t="shared" si="169"/>
        <v/>
      </c>
      <c r="L890" s="8" t="str">
        <f t="shared" si="170"/>
        <v/>
      </c>
      <c r="M890" s="23"/>
      <c r="N890" s="23"/>
      <c r="O890" s="23"/>
      <c r="P890" s="23"/>
      <c r="Q890" s="23">
        <v>2.9159999999999999</v>
      </c>
      <c r="R890" s="23">
        <f>0.316+1.357+2.198+1.398+0.403</f>
        <v>5.6720000000000006</v>
      </c>
      <c r="S890" s="8"/>
      <c r="T890" s="8"/>
      <c r="U890" s="8"/>
      <c r="V890" s="8"/>
      <c r="W890" s="8">
        <v>1.945130315500686</v>
      </c>
      <c r="X890" s="8"/>
      <c r="Y890" s="31">
        <f t="shared" si="171"/>
        <v>-0.28894870252907312</v>
      </c>
      <c r="Z890" s="31">
        <f t="shared" si="172"/>
        <v>-0.28894870252907312</v>
      </c>
      <c r="AA890" s="31" t="str">
        <f t="shared" si="173"/>
        <v/>
      </c>
    </row>
    <row r="891" spans="1:27" x14ac:dyDescent="0.25">
      <c r="A891" s="6" t="str">
        <f t="shared" si="167"/>
        <v>fragment</v>
      </c>
      <c r="B891" s="6" t="s">
        <v>803</v>
      </c>
      <c r="C891" s="6" t="str">
        <f t="shared" si="168"/>
        <v>HC62 87107</v>
      </c>
      <c r="D891" s="22" t="s">
        <v>795</v>
      </c>
      <c r="E891" s="20">
        <v>87107</v>
      </c>
      <c r="F891" s="22"/>
      <c r="G891" s="22" t="s">
        <v>1084</v>
      </c>
      <c r="H891" s="22"/>
      <c r="I891" s="6" t="s">
        <v>20</v>
      </c>
      <c r="J891" s="30"/>
      <c r="K891" s="8" t="str">
        <f t="shared" si="169"/>
        <v/>
      </c>
      <c r="L891" s="8" t="str">
        <f t="shared" si="170"/>
        <v/>
      </c>
      <c r="M891" s="23"/>
      <c r="N891" s="23"/>
      <c r="O891" s="23">
        <v>1.964</v>
      </c>
      <c r="P891" s="23">
        <f>0.62+1.599+1.101</f>
        <v>3.32</v>
      </c>
      <c r="Q891" s="23">
        <v>1.4359999999999999</v>
      </c>
      <c r="R891" s="23">
        <f>0.349+1.207+1.318+0.365</f>
        <v>3.2389999999999999</v>
      </c>
      <c r="S891" s="8"/>
      <c r="T891" s="8"/>
      <c r="U891" s="8"/>
      <c r="V891" s="8">
        <v>1.6904276985743381</v>
      </c>
      <c r="W891" s="8">
        <v>2.2555710306406684</v>
      </c>
      <c r="X891" s="8"/>
      <c r="Y891" s="31">
        <f t="shared" si="171"/>
        <v>-0.29512694539030593</v>
      </c>
      <c r="Z891" s="31">
        <f t="shared" si="172"/>
        <v>-0.29512694539030593</v>
      </c>
      <c r="AA891" s="31" t="str">
        <f t="shared" si="173"/>
        <v/>
      </c>
    </row>
    <row r="892" spans="1:27" x14ac:dyDescent="0.25">
      <c r="A892" s="6" t="str">
        <f t="shared" si="167"/>
        <v>fragment</v>
      </c>
      <c r="B892" s="6" t="s">
        <v>803</v>
      </c>
      <c r="C892" s="6" t="str">
        <f t="shared" si="168"/>
        <v>HC62 87107</v>
      </c>
      <c r="D892" s="22" t="s">
        <v>795</v>
      </c>
      <c r="E892" s="20">
        <v>87107</v>
      </c>
      <c r="F892" s="22"/>
      <c r="G892" s="22" t="s">
        <v>1085</v>
      </c>
      <c r="H892" s="22"/>
      <c r="I892" s="6" t="s">
        <v>20</v>
      </c>
      <c r="J892" s="30"/>
      <c r="K892" s="8" t="str">
        <f t="shared" si="169"/>
        <v/>
      </c>
      <c r="L892" s="8" t="str">
        <f t="shared" si="170"/>
        <v/>
      </c>
      <c r="M892" s="23">
        <v>0.88200000000000001</v>
      </c>
      <c r="N892" s="23">
        <f>0.354+1.177+0.712</f>
        <v>2.2430000000000003</v>
      </c>
      <c r="O892" s="23">
        <v>1.2410000000000001</v>
      </c>
      <c r="P892" s="23">
        <f>0.286+1.356+1.055+0.157</f>
        <v>2.8540000000000001</v>
      </c>
      <c r="Q892" s="23">
        <v>1.673</v>
      </c>
      <c r="R892" s="23">
        <f>0.447+1.171+1.295+0.879</f>
        <v>3.7920000000000003</v>
      </c>
      <c r="S892" s="8"/>
      <c r="T892" s="8"/>
      <c r="U892" s="8">
        <v>2.5430839002267578</v>
      </c>
      <c r="V892" s="8">
        <v>2.2997582594681707</v>
      </c>
      <c r="W892" s="8">
        <v>2.2665869695158398</v>
      </c>
      <c r="X892" s="8"/>
      <c r="Y892" s="31">
        <f t="shared" si="171"/>
        <v>-0.37471347456322324</v>
      </c>
      <c r="Z892" s="31">
        <f t="shared" si="172"/>
        <v>-0.37471347456322324</v>
      </c>
      <c r="AA892" s="31" t="str">
        <f t="shared" si="173"/>
        <v/>
      </c>
    </row>
    <row r="893" spans="1:27" x14ac:dyDescent="0.25">
      <c r="A893" s="6" t="str">
        <f t="shared" si="167"/>
        <v>fragment</v>
      </c>
      <c r="B893" s="6" t="s">
        <v>803</v>
      </c>
      <c r="C893" s="6" t="str">
        <f t="shared" si="168"/>
        <v>HC62 87107</v>
      </c>
      <c r="D893" s="22" t="s">
        <v>795</v>
      </c>
      <c r="E893" s="20">
        <v>87107</v>
      </c>
      <c r="F893" s="22"/>
      <c r="G893" s="22" t="s">
        <v>1086</v>
      </c>
      <c r="H893" s="22"/>
      <c r="I893" s="6" t="s">
        <v>20</v>
      </c>
      <c r="J893" s="30"/>
      <c r="K893" s="8" t="str">
        <f t="shared" si="169"/>
        <v/>
      </c>
      <c r="L893" s="8" t="str">
        <f t="shared" si="170"/>
        <v/>
      </c>
      <c r="M893" s="23">
        <v>1.8089999999999999</v>
      </c>
      <c r="N893" s="23">
        <f>0.588+1.713+1.235+0.451</f>
        <v>3.9870000000000005</v>
      </c>
      <c r="O893" s="23">
        <v>1.732</v>
      </c>
      <c r="P893" s="23">
        <f>0.958+1.797+0.967</f>
        <v>3.722</v>
      </c>
      <c r="Q893" s="23">
        <v>1.764</v>
      </c>
      <c r="R893" s="23">
        <f>0.293+1.178+1.242+0.607</f>
        <v>3.3200000000000003</v>
      </c>
      <c r="S893" s="8"/>
      <c r="T893" s="8"/>
      <c r="U893" s="8">
        <v>2.2039800995024881</v>
      </c>
      <c r="V893" s="8">
        <v>2.1489607390300232</v>
      </c>
      <c r="W893" s="8">
        <v>1.8820861678004537</v>
      </c>
      <c r="X893" s="8"/>
      <c r="Y893" s="31">
        <f t="shared" si="171"/>
        <v>-0.31771708419770289</v>
      </c>
      <c r="Z893" s="31">
        <f t="shared" si="172"/>
        <v>-0.31771708419770289</v>
      </c>
      <c r="AA893" s="31" t="str">
        <f t="shared" si="173"/>
        <v/>
      </c>
    </row>
    <row r="894" spans="1:27" x14ac:dyDescent="0.25">
      <c r="A894" s="6" t="str">
        <f t="shared" si="167"/>
        <v>complete</v>
      </c>
      <c r="B894" s="6" t="s">
        <v>803</v>
      </c>
      <c r="C894" s="6" t="str">
        <f t="shared" si="168"/>
        <v>HC62 87107</v>
      </c>
      <c r="D894" s="22" t="s">
        <v>795</v>
      </c>
      <c r="E894" s="20">
        <v>87107</v>
      </c>
      <c r="F894" s="22"/>
      <c r="G894" s="22" t="s">
        <v>1087</v>
      </c>
      <c r="H894" s="22"/>
      <c r="I894" s="6" t="s">
        <v>20</v>
      </c>
      <c r="J894" s="30">
        <v>21.873999999999999</v>
      </c>
      <c r="K894" s="8">
        <f t="shared" si="169"/>
        <v>1.3399282077785137</v>
      </c>
      <c r="L894" s="8">
        <f t="shared" si="170"/>
        <v>7.6904689029011255</v>
      </c>
      <c r="M894" s="23">
        <v>1.4770000000000001</v>
      </c>
      <c r="N894" s="23">
        <f>0.386+1.596+1.338+0.814+0.159</f>
        <v>4.2930000000000001</v>
      </c>
      <c r="O894" s="23">
        <v>1.5329999999999999</v>
      </c>
      <c r="P894" s="23">
        <f>0.96+1.363+0.802</f>
        <v>3.125</v>
      </c>
      <c r="Q894" s="23">
        <v>1.282</v>
      </c>
      <c r="R894" s="23">
        <f>0.3+0.994+1.253+0.763</f>
        <v>3.3099999999999996</v>
      </c>
      <c r="S894" s="8"/>
      <c r="T894" s="8"/>
      <c r="U894" s="8">
        <v>2.906567366283006</v>
      </c>
      <c r="V894" s="8">
        <v>2.0384866275277234</v>
      </c>
      <c r="W894" s="8">
        <v>2.5819032761310448</v>
      </c>
      <c r="X894" s="8"/>
      <c r="Y894" s="31">
        <f t="shared" si="171"/>
        <v>-0.39949819585942609</v>
      </c>
      <c r="Z894" s="31" t="str">
        <f t="shared" si="172"/>
        <v/>
      </c>
      <c r="AA894" s="31">
        <f t="shared" si="173"/>
        <v>-0.39949819585942609</v>
      </c>
    </row>
    <row r="895" spans="1:27" x14ac:dyDescent="0.25">
      <c r="A895" s="6" t="str">
        <f t="shared" si="167"/>
        <v>fragment</v>
      </c>
      <c r="B895" s="6" t="s">
        <v>803</v>
      </c>
      <c r="C895" s="6" t="str">
        <f t="shared" si="168"/>
        <v>HC62 87107</v>
      </c>
      <c r="D895" s="22" t="s">
        <v>795</v>
      </c>
      <c r="E895" s="20">
        <v>87107</v>
      </c>
      <c r="F895" s="22"/>
      <c r="G895" s="22" t="s">
        <v>1088</v>
      </c>
      <c r="H895" s="22"/>
      <c r="I895" s="6" t="s">
        <v>20</v>
      </c>
      <c r="J895" s="30"/>
      <c r="K895" s="8" t="str">
        <f t="shared" si="169"/>
        <v/>
      </c>
      <c r="L895" s="8" t="str">
        <f t="shared" si="170"/>
        <v/>
      </c>
      <c r="M895" s="23"/>
      <c r="N895" s="23"/>
      <c r="O895" s="23">
        <v>2.238</v>
      </c>
      <c r="P895" s="23">
        <f>0.855+1.401+1.598+0.428</f>
        <v>4.282</v>
      </c>
      <c r="Q895" s="23">
        <v>1.5189999999999999</v>
      </c>
      <c r="R895" s="23">
        <f>0.256+1.09+1.387+0.416</f>
        <v>3.149</v>
      </c>
      <c r="S895" s="8"/>
      <c r="T895" s="8"/>
      <c r="U895" s="8"/>
      <c r="V895" s="8">
        <v>1.9133154602323503</v>
      </c>
      <c r="W895" s="8">
        <v>2.0730743910467413</v>
      </c>
      <c r="X895" s="8"/>
      <c r="Y895" s="31">
        <f t="shared" si="171"/>
        <v>-0.29954977285505502</v>
      </c>
      <c r="Z895" s="31">
        <f t="shared" si="172"/>
        <v>-0.29954977285505502</v>
      </c>
      <c r="AA895" s="31" t="str">
        <f t="shared" si="173"/>
        <v/>
      </c>
    </row>
    <row r="896" spans="1:27" x14ac:dyDescent="0.25">
      <c r="A896" s="6" t="str">
        <f t="shared" si="167"/>
        <v>fragment</v>
      </c>
      <c r="B896" s="6" t="s">
        <v>803</v>
      </c>
      <c r="C896" s="6" t="str">
        <f t="shared" si="168"/>
        <v>HC62 87107</v>
      </c>
      <c r="D896" s="22" t="s">
        <v>795</v>
      </c>
      <c r="E896" s="20">
        <v>87107</v>
      </c>
      <c r="F896" s="22"/>
      <c r="G896" s="22" t="s">
        <v>1089</v>
      </c>
      <c r="H896" s="22"/>
      <c r="I896" s="6" t="s">
        <v>20</v>
      </c>
      <c r="J896" s="30"/>
      <c r="K896" s="8" t="str">
        <f t="shared" si="169"/>
        <v/>
      </c>
      <c r="L896" s="8" t="str">
        <f t="shared" si="170"/>
        <v/>
      </c>
      <c r="M896" s="23"/>
      <c r="N896" s="23"/>
      <c r="O896" s="23">
        <v>1.599</v>
      </c>
      <c r="P896" s="23">
        <f>0.285+1.08+1.521+1.1+0.244</f>
        <v>4.2300000000000004</v>
      </c>
      <c r="Q896" s="23">
        <v>1.579</v>
      </c>
      <c r="R896" s="23">
        <f>0.75+1.073+1.248+1.176+0.424</f>
        <v>4.6710000000000003</v>
      </c>
      <c r="S896" s="8"/>
      <c r="T896" s="8"/>
      <c r="U896" s="8"/>
      <c r="V896" s="8">
        <v>2.6454033771106946</v>
      </c>
      <c r="W896" s="8">
        <v>2.9582013932868905</v>
      </c>
      <c r="X896" s="8"/>
      <c r="Y896" s="31">
        <f t="shared" si="171"/>
        <v>-0.4474375006698697</v>
      </c>
      <c r="Z896" s="31">
        <f t="shared" si="172"/>
        <v>-0.4474375006698697</v>
      </c>
      <c r="AA896" s="31" t="str">
        <f t="shared" si="173"/>
        <v/>
      </c>
    </row>
    <row r="897" spans="1:27" x14ac:dyDescent="0.25">
      <c r="A897" s="6" t="str">
        <f t="shared" si="167"/>
        <v>complete</v>
      </c>
      <c r="B897" s="6" t="s">
        <v>803</v>
      </c>
      <c r="C897" s="6" t="str">
        <f t="shared" si="168"/>
        <v>HC62 87107</v>
      </c>
      <c r="D897" s="22" t="s">
        <v>795</v>
      </c>
      <c r="E897" s="20">
        <v>87107</v>
      </c>
      <c r="F897" s="22"/>
      <c r="G897" s="22" t="s">
        <v>852</v>
      </c>
      <c r="H897" s="22"/>
      <c r="I897" s="6" t="s">
        <v>20</v>
      </c>
      <c r="J897" s="30">
        <f>2.419*2</f>
        <v>4.8380000000000001</v>
      </c>
      <c r="K897" s="8">
        <f t="shared" si="169"/>
        <v>0.68466586402586094</v>
      </c>
      <c r="L897" s="8">
        <f t="shared" si="170"/>
        <v>6.1816715981759272</v>
      </c>
      <c r="M897" s="23">
        <v>0.38</v>
      </c>
      <c r="N897" s="23">
        <f>0.459+0.784+0.301</f>
        <v>1.544</v>
      </c>
      <c r="O897" s="23">
        <v>0.48599999999999999</v>
      </c>
      <c r="P897" s="23">
        <f>0.188+0.781+0.691+0.283</f>
        <v>1.9430000000000001</v>
      </c>
      <c r="Q897" s="23">
        <v>0.48299999999999998</v>
      </c>
      <c r="R897" s="23">
        <f>0.216+0.742+0.739+0.464+0.081</f>
        <v>2.242</v>
      </c>
      <c r="S897" s="8"/>
      <c r="T897" s="8"/>
      <c r="U897" s="8">
        <v>4.0631578947368423</v>
      </c>
      <c r="V897" s="8">
        <v>3.997942386831276</v>
      </c>
      <c r="W897" s="8">
        <v>4.6418219461697721</v>
      </c>
      <c r="X897" s="8"/>
      <c r="Y897" s="31">
        <f t="shared" si="171"/>
        <v>-0.62678238445638346</v>
      </c>
      <c r="Z897" s="31" t="str">
        <f t="shared" si="172"/>
        <v/>
      </c>
      <c r="AA897" s="31">
        <f t="shared" si="173"/>
        <v>-0.62678238445638346</v>
      </c>
    </row>
    <row r="898" spans="1:27" x14ac:dyDescent="0.25">
      <c r="A898" s="6" t="str">
        <f t="shared" ref="A898:A961" si="179">IF(J898&gt;0,"complete","fragment")</f>
        <v>complete</v>
      </c>
      <c r="B898" s="6" t="s">
        <v>803</v>
      </c>
      <c r="C898" s="6" t="str">
        <f t="shared" ref="C898:C961" si="180">D898&amp;" "&amp;E898</f>
        <v>HC62 87107</v>
      </c>
      <c r="D898" s="22" t="s">
        <v>795</v>
      </c>
      <c r="E898" s="20">
        <v>87107</v>
      </c>
      <c r="F898" s="22"/>
      <c r="G898" s="22" t="s">
        <v>1090</v>
      </c>
      <c r="H898" s="22"/>
      <c r="I898" s="6" t="s">
        <v>20</v>
      </c>
      <c r="J898" s="30">
        <v>20.02</v>
      </c>
      <c r="K898" s="8">
        <f t="shared" ref="K898:K961" si="181">IF(J898&gt;0,LOG(J898),"")</f>
        <v>1.3014640731432998</v>
      </c>
      <c r="L898" s="8">
        <f t="shared" ref="L898:L961" si="182">IF(J898&gt;0,LN(J898*100),"")</f>
        <v>7.6019019598751658</v>
      </c>
      <c r="M898" s="23">
        <v>0.97099999999999997</v>
      </c>
      <c r="N898" s="23">
        <f>1.342+1.227+0.468</f>
        <v>3.0369999999999999</v>
      </c>
      <c r="O898" s="23">
        <v>1.5580000000000001</v>
      </c>
      <c r="P898" s="23">
        <f>0.358+1.117+1.689+0.763</f>
        <v>3.927</v>
      </c>
      <c r="Q898" s="23">
        <v>1.524</v>
      </c>
      <c r="R898" s="23">
        <f>0.435+1.07+1.453+0.936</f>
        <v>3.8940000000000001</v>
      </c>
      <c r="S898" s="8"/>
      <c r="T898" s="8"/>
      <c r="U898" s="8">
        <v>3.1277033985581872</v>
      </c>
      <c r="V898" s="8">
        <v>2.5205391527599486</v>
      </c>
      <c r="W898" s="8">
        <v>2.5551181102362204</v>
      </c>
      <c r="X898" s="8"/>
      <c r="Y898" s="31">
        <f t="shared" ref="Y898:Y961" si="183">IF(COUNT(U898:X898)&gt;0,LOG(1/AVERAGE(U898:X898)),"")</f>
        <v>-0.43687055105045308</v>
      </c>
      <c r="Z898" s="31" t="str">
        <f t="shared" ref="Z898:Z961" si="184">IF(A898="fragment",IF(ISNUMBER(Y898)=TRUE,Y898,""),"")</f>
        <v/>
      </c>
      <c r="AA898" s="31">
        <f t="shared" ref="AA898:AA961" si="185">IF(A898="complete",IF(ISNUMBER(Y898)=TRUE,Y898,""),"")</f>
        <v>-0.43687055105045308</v>
      </c>
    </row>
    <row r="899" spans="1:27" x14ac:dyDescent="0.25">
      <c r="A899" s="6" t="str">
        <f t="shared" si="179"/>
        <v>complete</v>
      </c>
      <c r="B899" s="6" t="s">
        <v>803</v>
      </c>
      <c r="C899" s="6" t="str">
        <f t="shared" si="180"/>
        <v>HC62 87107</v>
      </c>
      <c r="D899" s="22" t="s">
        <v>795</v>
      </c>
      <c r="E899" s="20">
        <v>87107</v>
      </c>
      <c r="F899" s="22"/>
      <c r="G899" s="22" t="s">
        <v>853</v>
      </c>
      <c r="H899" s="22"/>
      <c r="I899" s="6" t="s">
        <v>20</v>
      </c>
      <c r="J899" s="30">
        <v>13.643000000000001</v>
      </c>
      <c r="K899" s="8">
        <f t="shared" si="181"/>
        <v>1.1349098791318784</v>
      </c>
      <c r="L899" s="8">
        <f t="shared" si="182"/>
        <v>7.2183967555688282</v>
      </c>
      <c r="M899" s="23">
        <v>0.86</v>
      </c>
      <c r="N899" s="23">
        <f>0.299+1.1+0.988+0.328</f>
        <v>2.7149999999999999</v>
      </c>
      <c r="O899" s="23">
        <v>1.071</v>
      </c>
      <c r="P899" s="23">
        <f>0.523+1.503+0.641</f>
        <v>2.6669999999999998</v>
      </c>
      <c r="Q899" s="23">
        <v>0.86</v>
      </c>
      <c r="R899" s="23">
        <f>0.243+0.862+1.026+0.476</f>
        <v>2.6070000000000002</v>
      </c>
      <c r="S899" s="8"/>
      <c r="T899" s="8"/>
      <c r="U899" s="8">
        <v>3.1569767441860463</v>
      </c>
      <c r="V899" s="8">
        <v>2.4901960784313726</v>
      </c>
      <c r="W899" s="8">
        <v>3.0313953488372096</v>
      </c>
      <c r="X899" s="8"/>
      <c r="Y899" s="31">
        <f t="shared" si="183"/>
        <v>-0.46132682454323165</v>
      </c>
      <c r="Z899" s="31" t="str">
        <f t="shared" si="184"/>
        <v/>
      </c>
      <c r="AA899" s="31">
        <f t="shared" si="185"/>
        <v>-0.46132682454323165</v>
      </c>
    </row>
    <row r="900" spans="1:27" x14ac:dyDescent="0.25">
      <c r="A900" s="6" t="str">
        <f t="shared" si="179"/>
        <v>fragment</v>
      </c>
      <c r="B900" s="6" t="s">
        <v>803</v>
      </c>
      <c r="C900" s="6" t="str">
        <f t="shared" si="180"/>
        <v>HC62 87107</v>
      </c>
      <c r="D900" s="22" t="s">
        <v>795</v>
      </c>
      <c r="E900" s="20">
        <v>87107</v>
      </c>
      <c r="F900" s="22"/>
      <c r="G900" s="22" t="s">
        <v>1091</v>
      </c>
      <c r="H900" s="22"/>
      <c r="I900" s="6" t="s">
        <v>20</v>
      </c>
      <c r="J900" s="30"/>
      <c r="K900" s="8" t="str">
        <f t="shared" si="181"/>
        <v/>
      </c>
      <c r="L900" s="8" t="str">
        <f t="shared" si="182"/>
        <v/>
      </c>
      <c r="M900" s="23"/>
      <c r="N900" s="23"/>
      <c r="O900" s="23">
        <v>2.5870000000000002</v>
      </c>
      <c r="P900" s="23">
        <f>0.613+1.768+1.861+0.88</f>
        <v>5.1219999999999999</v>
      </c>
      <c r="Q900" s="23">
        <v>2.6110000000000002</v>
      </c>
      <c r="R900" s="23">
        <f>0.559+1.604+1.652+1.416+0.614</f>
        <v>5.8449999999999998</v>
      </c>
      <c r="S900" s="8"/>
      <c r="T900" s="8"/>
      <c r="U900" s="8"/>
      <c r="V900" s="8">
        <v>1.9798994974874371</v>
      </c>
      <c r="W900" s="8">
        <v>2.2386058981233243</v>
      </c>
      <c r="X900" s="8"/>
      <c r="Y900" s="31">
        <f t="shared" si="183"/>
        <v>-0.32412861325689718</v>
      </c>
      <c r="Z900" s="31">
        <f t="shared" si="184"/>
        <v>-0.32412861325689718</v>
      </c>
      <c r="AA900" s="31" t="str">
        <f t="shared" si="185"/>
        <v/>
      </c>
    </row>
    <row r="901" spans="1:27" x14ac:dyDescent="0.25">
      <c r="A901" s="6" t="str">
        <f t="shared" si="179"/>
        <v>fragment</v>
      </c>
      <c r="B901" s="6" t="s">
        <v>803</v>
      </c>
      <c r="C901" s="6" t="str">
        <f t="shared" si="180"/>
        <v>HC62 87107</v>
      </c>
      <c r="D901" s="22" t="s">
        <v>795</v>
      </c>
      <c r="E901" s="20">
        <v>87107</v>
      </c>
      <c r="F901" s="22"/>
      <c r="G901" s="22" t="s">
        <v>1092</v>
      </c>
      <c r="H901" s="22"/>
      <c r="I901" s="6" t="s">
        <v>20</v>
      </c>
      <c r="J901" s="30"/>
      <c r="K901" s="8" t="str">
        <f t="shared" si="181"/>
        <v/>
      </c>
      <c r="L901" s="8" t="str">
        <f t="shared" si="182"/>
        <v/>
      </c>
      <c r="M901" s="23">
        <v>0.96499999999999997</v>
      </c>
      <c r="N901" s="23">
        <f>0.592+1.239+0.153</f>
        <v>1.984</v>
      </c>
      <c r="O901" s="23">
        <v>1.3180000000000001</v>
      </c>
      <c r="P901" s="23">
        <f>0.688+1.17+1.235+0.751+0.173</f>
        <v>4.0169999999999995</v>
      </c>
      <c r="Q901" s="23">
        <v>1.373</v>
      </c>
      <c r="R901" s="23">
        <f>0.145+1.159+0.246+1.298+0.595</f>
        <v>3.4429999999999996</v>
      </c>
      <c r="S901" s="8"/>
      <c r="T901" s="8"/>
      <c r="U901" s="8">
        <v>2.0559585492227979</v>
      </c>
      <c r="V901" s="8">
        <v>3.047799696509863</v>
      </c>
      <c r="W901" s="8">
        <v>2.5076474872541876</v>
      </c>
      <c r="X901" s="8"/>
      <c r="Y901" s="31">
        <f t="shared" si="183"/>
        <v>-0.40434361830579024</v>
      </c>
      <c r="Z901" s="31">
        <f t="shared" si="184"/>
        <v>-0.40434361830579024</v>
      </c>
      <c r="AA901" s="31" t="str">
        <f t="shared" si="185"/>
        <v/>
      </c>
    </row>
    <row r="902" spans="1:27" x14ac:dyDescent="0.25">
      <c r="A902" s="6" t="str">
        <f t="shared" si="179"/>
        <v>complete</v>
      </c>
      <c r="B902" s="6" t="s">
        <v>803</v>
      </c>
      <c r="C902" s="6" t="str">
        <f t="shared" si="180"/>
        <v>HC62 87107</v>
      </c>
      <c r="D902" s="22" t="s">
        <v>795</v>
      </c>
      <c r="E902" s="20">
        <v>87107</v>
      </c>
      <c r="F902" s="22"/>
      <c r="G902" s="22" t="s">
        <v>854</v>
      </c>
      <c r="H902" s="22"/>
      <c r="I902" s="6" t="s">
        <v>20</v>
      </c>
      <c r="J902" s="30">
        <v>10.775</v>
      </c>
      <c r="K902" s="8">
        <f t="shared" si="181"/>
        <v>1.0324172788327692</v>
      </c>
      <c r="L902" s="8">
        <f t="shared" si="182"/>
        <v>6.9823988219779025</v>
      </c>
      <c r="M902" s="23">
        <v>0.63200000000000001</v>
      </c>
      <c r="N902" s="23">
        <f>0.483+1.016+0.292</f>
        <v>1.7910000000000001</v>
      </c>
      <c r="O902" s="23">
        <v>0.65800000000000003</v>
      </c>
      <c r="P902" s="23">
        <f>0.322+0.925+0.767+0.229</f>
        <v>2.2430000000000003</v>
      </c>
      <c r="Q902" s="23">
        <v>0.69199999999999995</v>
      </c>
      <c r="R902" s="23">
        <f>0.29+0.779+0.769+0.367</f>
        <v>2.2050000000000001</v>
      </c>
      <c r="S902" s="8"/>
      <c r="T902" s="8"/>
      <c r="U902" s="8">
        <v>2.8338607594936711</v>
      </c>
      <c r="V902" s="8">
        <v>3.4088145896656536</v>
      </c>
      <c r="W902" s="8">
        <v>3.1864161849710988</v>
      </c>
      <c r="X902" s="8"/>
      <c r="Y902" s="31">
        <f t="shared" si="183"/>
        <v>-0.49734859700811934</v>
      </c>
      <c r="Z902" s="31" t="str">
        <f t="shared" si="184"/>
        <v/>
      </c>
      <c r="AA902" s="31">
        <f t="shared" si="185"/>
        <v>-0.49734859700811934</v>
      </c>
    </row>
    <row r="903" spans="1:27" x14ac:dyDescent="0.25">
      <c r="A903" s="6" t="str">
        <f t="shared" si="179"/>
        <v>fragment</v>
      </c>
      <c r="B903" s="6" t="s">
        <v>803</v>
      </c>
      <c r="C903" s="6" t="str">
        <f t="shared" si="180"/>
        <v>HC62 87107</v>
      </c>
      <c r="D903" s="22" t="s">
        <v>795</v>
      </c>
      <c r="E903" s="20">
        <v>87107</v>
      </c>
      <c r="F903" s="22"/>
      <c r="G903" s="22" t="s">
        <v>1093</v>
      </c>
      <c r="H903" s="22"/>
      <c r="I903" s="6" t="s">
        <v>20</v>
      </c>
      <c r="J903" s="30"/>
      <c r="K903" s="8" t="str">
        <f t="shared" si="181"/>
        <v/>
      </c>
      <c r="L903" s="8" t="str">
        <f t="shared" si="182"/>
        <v/>
      </c>
      <c r="M903" s="23"/>
      <c r="N903" s="23"/>
      <c r="O903" s="23"/>
      <c r="P903" s="23"/>
      <c r="Q903" s="23">
        <v>2.5710000000000002</v>
      </c>
      <c r="R903" s="23">
        <f>1.058+1.41+1.588+1.188+0.354</f>
        <v>5.5979999999999999</v>
      </c>
      <c r="S903" s="8"/>
      <c r="T903" s="8"/>
      <c r="U903" s="8"/>
      <c r="V903" s="8"/>
      <c r="W903" s="8">
        <v>2.1773628938156357</v>
      </c>
      <c r="X903" s="8"/>
      <c r="Y903" s="31">
        <f t="shared" si="183"/>
        <v>-0.33793081748728293</v>
      </c>
      <c r="Z903" s="31">
        <f t="shared" si="184"/>
        <v>-0.33793081748728293</v>
      </c>
      <c r="AA903" s="31" t="str">
        <f t="shared" si="185"/>
        <v/>
      </c>
    </row>
    <row r="904" spans="1:27" x14ac:dyDescent="0.25">
      <c r="A904" s="6" t="str">
        <f t="shared" si="179"/>
        <v>complete</v>
      </c>
      <c r="B904" s="6" t="s">
        <v>803</v>
      </c>
      <c r="C904" s="6" t="str">
        <f t="shared" si="180"/>
        <v>HC62 87107</v>
      </c>
      <c r="D904" s="6" t="s">
        <v>795</v>
      </c>
      <c r="E904" s="20">
        <v>87107</v>
      </c>
      <c r="G904" s="6" t="s">
        <v>852</v>
      </c>
      <c r="I904" s="8" t="s">
        <v>20</v>
      </c>
      <c r="J904" s="29">
        <v>4.67035</v>
      </c>
      <c r="K904" s="8">
        <f t="shared" si="181"/>
        <v>0.66934942818343646</v>
      </c>
      <c r="L904" s="8">
        <f t="shared" si="182"/>
        <v>6.1464042013273605</v>
      </c>
      <c r="M904" s="8">
        <v>0.27300000000000002</v>
      </c>
      <c r="N904" s="8">
        <f>0.239+0.672+0.488+0.223</f>
        <v>1.6220000000000001</v>
      </c>
      <c r="O904" s="8">
        <v>0.86099999999999999</v>
      </c>
      <c r="P904" s="8">
        <f>0.327+0.629+0.673+0.744+0.855+0.382</f>
        <v>3.6100000000000003</v>
      </c>
      <c r="Q904" s="8">
        <v>0.30599999999999999</v>
      </c>
      <c r="R904" s="8">
        <f>0.279+0.454+0.495</f>
        <v>1.2280000000000002</v>
      </c>
      <c r="S904" s="8"/>
      <c r="T904" s="8"/>
      <c r="U904" s="8">
        <f>N904/M904</f>
        <v>5.9413919413919416</v>
      </c>
      <c r="V904" s="8">
        <f t="shared" ref="V904:V911" si="186">P904/O904</f>
        <v>4.192799070847852</v>
      </c>
      <c r="W904" s="8">
        <f>R904/Q904</f>
        <v>4.0130718954248374</v>
      </c>
      <c r="X904" s="8"/>
      <c r="Y904" s="31">
        <f t="shared" si="183"/>
        <v>-0.67355116965792683</v>
      </c>
      <c r="Z904" s="31" t="str">
        <f t="shared" si="184"/>
        <v/>
      </c>
      <c r="AA904" s="31">
        <f t="shared" si="185"/>
        <v>-0.67355116965792683</v>
      </c>
    </row>
    <row r="905" spans="1:27" x14ac:dyDescent="0.25">
      <c r="A905" s="6" t="str">
        <f t="shared" si="179"/>
        <v>complete</v>
      </c>
      <c r="B905" s="6" t="s">
        <v>803</v>
      </c>
      <c r="C905" s="6" t="str">
        <f t="shared" si="180"/>
        <v>HC62 87107</v>
      </c>
      <c r="D905" s="6" t="s">
        <v>795</v>
      </c>
      <c r="E905" s="20">
        <v>87107</v>
      </c>
      <c r="G905" s="6" t="s">
        <v>853</v>
      </c>
      <c r="I905" s="8" t="s">
        <v>20</v>
      </c>
      <c r="J905" s="29">
        <v>15.704280000000001</v>
      </c>
      <c r="K905" s="8">
        <f t="shared" si="181"/>
        <v>1.1960180299293715</v>
      </c>
      <c r="L905" s="8">
        <f t="shared" si="182"/>
        <v>7.3591034726555682</v>
      </c>
      <c r="M905" s="8">
        <v>1.004</v>
      </c>
      <c r="N905" s="8">
        <f>0.41+1.021+0.918+0.611</f>
        <v>2.96</v>
      </c>
      <c r="O905" s="8">
        <v>2.69</v>
      </c>
      <c r="P905" s="8">
        <f>1.275+2.036+1.684+1.316+0.69</f>
        <v>7.0009999999999994</v>
      </c>
      <c r="Q905" s="8"/>
      <c r="R905" s="8"/>
      <c r="S905" s="8"/>
      <c r="T905" s="8"/>
      <c r="U905" s="8">
        <f>N905/M905</f>
        <v>2.9482071713147411</v>
      </c>
      <c r="V905" s="8">
        <f t="shared" si="186"/>
        <v>2.6026022304832712</v>
      </c>
      <c r="W905" s="8"/>
      <c r="X905" s="8"/>
      <c r="Y905" s="31">
        <f t="shared" si="183"/>
        <v>-0.44332631954961188</v>
      </c>
      <c r="Z905" s="31" t="str">
        <f t="shared" si="184"/>
        <v/>
      </c>
      <c r="AA905" s="31">
        <f t="shared" si="185"/>
        <v>-0.44332631954961188</v>
      </c>
    </row>
    <row r="906" spans="1:27" x14ac:dyDescent="0.25">
      <c r="A906" s="6" t="str">
        <f t="shared" si="179"/>
        <v>complete</v>
      </c>
      <c r="B906" s="6" t="s">
        <v>803</v>
      </c>
      <c r="C906" s="6" t="str">
        <f t="shared" si="180"/>
        <v>HC62 87107</v>
      </c>
      <c r="D906" s="6" t="s">
        <v>795</v>
      </c>
      <c r="E906" s="20">
        <v>87107</v>
      </c>
      <c r="G906" s="6" t="s">
        <v>854</v>
      </c>
      <c r="I906" s="8" t="s">
        <v>20</v>
      </c>
      <c r="J906" s="29">
        <v>11.336449999999999</v>
      </c>
      <c r="K906" s="8">
        <f t="shared" si="181"/>
        <v>1.054477076886366</v>
      </c>
      <c r="L906" s="8">
        <f t="shared" si="182"/>
        <v>7.0331933841305743</v>
      </c>
      <c r="M906" s="8">
        <v>1.528</v>
      </c>
      <c r="N906" s="8">
        <f>0.499+1.077+1.121+1.276+0.415</f>
        <v>4.3879999999999999</v>
      </c>
      <c r="O906" s="8">
        <v>2.0150000000000001</v>
      </c>
      <c r="P906" s="8">
        <f>0.336+1.074+1.077+1.077+1.119+1.021+0.396</f>
        <v>6.1</v>
      </c>
      <c r="Q906" s="8">
        <v>0.65300000000000002</v>
      </c>
      <c r="R906" s="8">
        <f>0.218+0.612+0.617+0.528</f>
        <v>1.9750000000000001</v>
      </c>
      <c r="S906" s="8"/>
      <c r="T906" s="8"/>
      <c r="U906" s="8">
        <f>N906/M906</f>
        <v>2.8717277486910993</v>
      </c>
      <c r="V906" s="8">
        <f t="shared" si="186"/>
        <v>3.0272952853598012</v>
      </c>
      <c r="W906" s="8">
        <f t="shared" ref="W906:W911" si="187">R906/Q906</f>
        <v>3.0245022970903523</v>
      </c>
      <c r="X906" s="8"/>
      <c r="Y906" s="31">
        <f t="shared" si="183"/>
        <v>-0.47341520609106763</v>
      </c>
      <c r="Z906" s="31" t="str">
        <f t="shared" si="184"/>
        <v/>
      </c>
      <c r="AA906" s="31">
        <f t="shared" si="185"/>
        <v>-0.47341520609106763</v>
      </c>
    </row>
    <row r="907" spans="1:27" x14ac:dyDescent="0.25">
      <c r="A907" s="6" t="str">
        <f t="shared" si="179"/>
        <v>fragment</v>
      </c>
      <c r="B907" s="6" t="s">
        <v>803</v>
      </c>
      <c r="C907" s="6" t="str">
        <f t="shared" si="180"/>
        <v>HC62 900</v>
      </c>
      <c r="D907" s="6" t="s">
        <v>795</v>
      </c>
      <c r="E907" s="20">
        <v>900</v>
      </c>
      <c r="F907" s="6" t="s">
        <v>180</v>
      </c>
      <c r="G907" s="6" t="s">
        <v>804</v>
      </c>
      <c r="H907" s="6" t="s">
        <v>977</v>
      </c>
      <c r="I907" s="6" t="s">
        <v>20</v>
      </c>
      <c r="J907" s="29"/>
      <c r="K907" s="8" t="str">
        <f t="shared" si="181"/>
        <v/>
      </c>
      <c r="L907" s="8" t="str">
        <f t="shared" si="182"/>
        <v/>
      </c>
      <c r="M907" s="8"/>
      <c r="N907" s="8"/>
      <c r="O907" s="8">
        <v>2.77</v>
      </c>
      <c r="P907" s="8">
        <f>0.665+1.105+1.204+1.338+1.405+0.736</f>
        <v>6.4530000000000003</v>
      </c>
      <c r="Q907" s="8">
        <v>1.2889999999999999</v>
      </c>
      <c r="R907" s="8">
        <f>0.666+0.666+0.665+0.701+0.676</f>
        <v>3.3740000000000001</v>
      </c>
      <c r="S907" s="8"/>
      <c r="T907" s="8"/>
      <c r="U907" s="8"/>
      <c r="V907" s="8">
        <f t="shared" si="186"/>
        <v>2.3296028880866428</v>
      </c>
      <c r="W907" s="8">
        <f t="shared" si="187"/>
        <v>2.6175329712955784</v>
      </c>
      <c r="X907" s="8"/>
      <c r="Y907" s="31">
        <f t="shared" si="183"/>
        <v>-0.39332384155886779</v>
      </c>
      <c r="Z907" s="31">
        <f t="shared" si="184"/>
        <v>-0.39332384155886779</v>
      </c>
      <c r="AA907" s="31" t="str">
        <f t="shared" si="185"/>
        <v/>
      </c>
    </row>
    <row r="908" spans="1:27" x14ac:dyDescent="0.25">
      <c r="A908" s="6" t="str">
        <f t="shared" si="179"/>
        <v>complete</v>
      </c>
      <c r="B908" s="6" t="s">
        <v>803</v>
      </c>
      <c r="C908" s="6" t="str">
        <f t="shared" si="180"/>
        <v>HC62 900</v>
      </c>
      <c r="D908" s="6" t="s">
        <v>795</v>
      </c>
      <c r="E908" s="20">
        <v>900</v>
      </c>
      <c r="F908" s="6" t="s">
        <v>180</v>
      </c>
      <c r="G908" s="6" t="s">
        <v>796</v>
      </c>
      <c r="H908" s="6" t="s">
        <v>977</v>
      </c>
      <c r="I908" s="6" t="s">
        <v>20</v>
      </c>
      <c r="J908" s="29">
        <v>15.686999999999999</v>
      </c>
      <c r="K908" s="8">
        <f t="shared" si="181"/>
        <v>1.195539896549318</v>
      </c>
      <c r="L908" s="8">
        <f t="shared" si="182"/>
        <v>7.3580025298621949</v>
      </c>
      <c r="M908" s="8">
        <v>2.7229999999999999</v>
      </c>
      <c r="N908" s="8">
        <f>0.587+1.409+0.361+1.701+1.421+1.281+0.511</f>
        <v>7.2709999999999999</v>
      </c>
      <c r="O908" s="8">
        <v>2.028</v>
      </c>
      <c r="P908" s="8">
        <f>0.679+1.47+1.694+1.36+0.469</f>
        <v>5.6720000000000006</v>
      </c>
      <c r="Q908" s="8">
        <v>1.161</v>
      </c>
      <c r="R908" s="8">
        <f>0.443+0.768+0.756+0.722+0.697+0.502</f>
        <v>3.8879999999999999</v>
      </c>
      <c r="S908" s="8"/>
      <c r="T908" s="8"/>
      <c r="U908" s="8">
        <f>N908/M908</f>
        <v>2.6702166727873671</v>
      </c>
      <c r="V908" s="8">
        <f t="shared" si="186"/>
        <v>2.7968441814595661</v>
      </c>
      <c r="W908" s="8">
        <f t="shared" si="187"/>
        <v>3.3488372093023253</v>
      </c>
      <c r="X908" s="8"/>
      <c r="Y908" s="31">
        <f t="shared" si="183"/>
        <v>-0.46814530515760205</v>
      </c>
      <c r="Z908" s="31" t="str">
        <f t="shared" si="184"/>
        <v/>
      </c>
      <c r="AA908" s="31">
        <f t="shared" si="185"/>
        <v>-0.46814530515760205</v>
      </c>
    </row>
    <row r="909" spans="1:27" x14ac:dyDescent="0.25">
      <c r="A909" s="6" t="str">
        <f t="shared" si="179"/>
        <v>complete</v>
      </c>
      <c r="B909" s="6" t="s">
        <v>803</v>
      </c>
      <c r="C909" s="6" t="str">
        <f t="shared" si="180"/>
        <v>HC62 900</v>
      </c>
      <c r="D909" s="6" t="s">
        <v>795</v>
      </c>
      <c r="E909" s="20">
        <v>900</v>
      </c>
      <c r="F909" s="6" t="s">
        <v>180</v>
      </c>
      <c r="G909" s="6" t="s">
        <v>797</v>
      </c>
      <c r="H909" s="6" t="s">
        <v>977</v>
      </c>
      <c r="I909" s="6" t="s">
        <v>20</v>
      </c>
      <c r="J909" s="29">
        <v>15.827</v>
      </c>
      <c r="K909" s="8">
        <f t="shared" si="181"/>
        <v>1.1993986023596166</v>
      </c>
      <c r="L909" s="8">
        <f t="shared" si="182"/>
        <v>7.3668875283392374</v>
      </c>
      <c r="M909" s="8">
        <v>2.2560000000000002</v>
      </c>
      <c r="N909" s="8">
        <f>0.509+1.495+2.22+1.392+0.348</f>
        <v>5.9639999999999995</v>
      </c>
      <c r="O909" s="8">
        <v>1.9689999999999999</v>
      </c>
      <c r="P909" s="8">
        <f>0.568+1.468+1.686+1.218+0.375</f>
        <v>5.3149999999999995</v>
      </c>
      <c r="Q909" s="8">
        <v>1.4060000000000001</v>
      </c>
      <c r="R909" s="8">
        <f>0.53+1.084+0.157+1.174+0.792</f>
        <v>3.7370000000000001</v>
      </c>
      <c r="S909" s="8">
        <v>0.67200000000000004</v>
      </c>
      <c r="T909" s="8">
        <f>0.658+0.954+0.368</f>
        <v>1.98</v>
      </c>
      <c r="U909" s="8">
        <f>N909/M909</f>
        <v>2.6436170212765955</v>
      </c>
      <c r="V909" s="8">
        <f t="shared" si="186"/>
        <v>2.6993397663788725</v>
      </c>
      <c r="W909" s="8">
        <f t="shared" si="187"/>
        <v>2.6578947368421049</v>
      </c>
      <c r="X909" s="8">
        <f>T909/S909</f>
        <v>2.9464285714285712</v>
      </c>
      <c r="Y909" s="31">
        <f t="shared" si="183"/>
        <v>-0.43724623871021046</v>
      </c>
      <c r="Z909" s="31" t="str">
        <f t="shared" si="184"/>
        <v/>
      </c>
      <c r="AA909" s="31">
        <f t="shared" si="185"/>
        <v>-0.43724623871021046</v>
      </c>
    </row>
    <row r="910" spans="1:27" x14ac:dyDescent="0.25">
      <c r="A910" s="6" t="str">
        <f t="shared" si="179"/>
        <v>complete</v>
      </c>
      <c r="B910" s="6" t="s">
        <v>803</v>
      </c>
      <c r="C910" s="6" t="str">
        <f t="shared" si="180"/>
        <v>HC62 900</v>
      </c>
      <c r="D910" s="6" t="s">
        <v>795</v>
      </c>
      <c r="E910" s="20">
        <v>900</v>
      </c>
      <c r="F910" s="6" t="s">
        <v>180</v>
      </c>
      <c r="G910" s="6" t="s">
        <v>802</v>
      </c>
      <c r="H910" s="6" t="s">
        <v>977</v>
      </c>
      <c r="I910" s="6" t="s">
        <v>20</v>
      </c>
      <c r="J910" s="29">
        <v>25.111000000000001</v>
      </c>
      <c r="K910" s="8">
        <f t="shared" si="181"/>
        <v>1.399864008046825</v>
      </c>
      <c r="L910" s="8">
        <f t="shared" si="182"/>
        <v>7.8284761831356073</v>
      </c>
      <c r="M910" s="8">
        <v>2.87</v>
      </c>
      <c r="N910" s="8">
        <f>0.44+1.425+2.185+1.639+0.484</f>
        <v>6.173</v>
      </c>
      <c r="O910" s="8">
        <v>4.1769999999999996</v>
      </c>
      <c r="P910" s="8">
        <f>1.04+2.143+2.684+2.006+0.726</f>
        <v>8.5990000000000002</v>
      </c>
      <c r="Q910" s="8">
        <v>2.4780000000000002</v>
      </c>
      <c r="R910" s="8">
        <f>0.993+1.204+1.218+1.068+0.584</f>
        <v>5.0670000000000002</v>
      </c>
      <c r="S910" s="8"/>
      <c r="T910" s="8"/>
      <c r="U910" s="8">
        <f>N910/M910</f>
        <v>2.1508710801393729</v>
      </c>
      <c r="V910" s="8">
        <f t="shared" si="186"/>
        <v>2.0586545367488629</v>
      </c>
      <c r="W910" s="8">
        <f t="shared" si="187"/>
        <v>2.0447941888619852</v>
      </c>
      <c r="X910" s="8"/>
      <c r="Y910" s="31">
        <f t="shared" si="183"/>
        <v>-0.3190588297858406</v>
      </c>
      <c r="Z910" s="31" t="str">
        <f t="shared" si="184"/>
        <v/>
      </c>
      <c r="AA910" s="31">
        <f t="shared" si="185"/>
        <v>-0.3190588297858406</v>
      </c>
    </row>
    <row r="911" spans="1:27" x14ac:dyDescent="0.25">
      <c r="A911" s="6" t="str">
        <f t="shared" si="179"/>
        <v>complete</v>
      </c>
      <c r="B911" s="6" t="s">
        <v>803</v>
      </c>
      <c r="C911" s="6" t="str">
        <f t="shared" si="180"/>
        <v>HC62 900</v>
      </c>
      <c r="D911" s="6" t="s">
        <v>795</v>
      </c>
      <c r="E911" s="20">
        <v>900</v>
      </c>
      <c r="F911" s="6" t="s">
        <v>180</v>
      </c>
      <c r="G911" s="6" t="s">
        <v>809</v>
      </c>
      <c r="H911" s="6" t="s">
        <v>977</v>
      </c>
      <c r="I911" s="6" t="s">
        <v>20</v>
      </c>
      <c r="J911" s="29">
        <v>13.974</v>
      </c>
      <c r="K911" s="8">
        <f t="shared" si="181"/>
        <v>1.1453207389183244</v>
      </c>
      <c r="L911" s="8">
        <f t="shared" si="182"/>
        <v>7.2423686461183507</v>
      </c>
      <c r="M911" s="8">
        <v>8.6859999999999999</v>
      </c>
      <c r="N911" s="8">
        <f>1.195+2.619+3.019+2.914+2.01+0.616</f>
        <v>12.372999999999999</v>
      </c>
      <c r="O911" s="8">
        <v>10.061</v>
      </c>
      <c r="P911" s="8">
        <f>0.919+2.429+2.746+2.753+2.72+2.287+0.744</f>
        <v>14.597999999999999</v>
      </c>
      <c r="Q911" s="8">
        <v>4.4669999999999996</v>
      </c>
      <c r="R911" s="8">
        <f>1.002+1.864+1.734+1.577+0.654</f>
        <v>6.8309999999999995</v>
      </c>
      <c r="S911" s="8"/>
      <c r="T911" s="8"/>
      <c r="U911" s="8">
        <f>N911/M911</f>
        <v>1.4244761685470873</v>
      </c>
      <c r="V911" s="8">
        <f t="shared" si="186"/>
        <v>1.4509492098200973</v>
      </c>
      <c r="W911" s="8">
        <f t="shared" si="187"/>
        <v>1.5292142377434519</v>
      </c>
      <c r="X911" s="8"/>
      <c r="Y911" s="31">
        <f t="shared" si="183"/>
        <v>-0.16678912587466704</v>
      </c>
      <c r="Z911" s="31" t="str">
        <f t="shared" si="184"/>
        <v/>
      </c>
      <c r="AA911" s="31">
        <f t="shared" si="185"/>
        <v>-0.16678912587466704</v>
      </c>
    </row>
    <row r="912" spans="1:27" x14ac:dyDescent="0.25">
      <c r="A912" s="6" t="str">
        <f t="shared" si="179"/>
        <v>complete</v>
      </c>
      <c r="B912" s="6" t="s">
        <v>803</v>
      </c>
      <c r="C912" s="6" t="str">
        <f t="shared" si="180"/>
        <v>HC62 900</v>
      </c>
      <c r="D912" s="6" t="s">
        <v>795</v>
      </c>
      <c r="E912" s="20">
        <v>900</v>
      </c>
      <c r="F912" s="6" t="s">
        <v>180</v>
      </c>
      <c r="G912" s="6" t="s">
        <v>798</v>
      </c>
      <c r="H912" s="6" t="s">
        <v>977</v>
      </c>
      <c r="I912" s="6" t="s">
        <v>20</v>
      </c>
      <c r="J912" s="29">
        <v>23.536000000000001</v>
      </c>
      <c r="K912" s="8">
        <f t="shared" si="181"/>
        <v>1.371732655383455</v>
      </c>
      <c r="L912" s="8">
        <f t="shared" si="182"/>
        <v>7.7637013498471736</v>
      </c>
      <c r="M912" s="8">
        <v>0.41300000000000003</v>
      </c>
      <c r="N912" s="8">
        <v>1.0009999999999999</v>
      </c>
      <c r="O912" s="8">
        <v>0.56500000000000006</v>
      </c>
      <c r="P912" s="8">
        <v>1.17</v>
      </c>
      <c r="Q912" s="8">
        <v>0.38200000000000001</v>
      </c>
      <c r="R912" s="8">
        <v>0.96099999999999997</v>
      </c>
      <c r="S912" s="8">
        <v>1.444</v>
      </c>
      <c r="T912" s="8">
        <v>3.19</v>
      </c>
      <c r="U912" s="8">
        <f>(N912/M912)</f>
        <v>2.4237288135593213</v>
      </c>
      <c r="V912" s="8">
        <f>(P912/O912)</f>
        <v>2.0707964601769908</v>
      </c>
      <c r="W912" s="8">
        <f>(R912/Q912)</f>
        <v>2.5157068062827226</v>
      </c>
      <c r="X912" s="8">
        <f>(T912/S912)</f>
        <v>2.209141274238227</v>
      </c>
      <c r="Y912" s="31">
        <f t="shared" si="183"/>
        <v>-0.36264141150039375</v>
      </c>
      <c r="Z912" s="31" t="str">
        <f t="shared" si="184"/>
        <v/>
      </c>
      <c r="AA912" s="31">
        <f t="shared" si="185"/>
        <v>-0.36264141150039375</v>
      </c>
    </row>
    <row r="913" spans="1:27" x14ac:dyDescent="0.25">
      <c r="A913" s="6" t="str">
        <f t="shared" si="179"/>
        <v>complete</v>
      </c>
      <c r="B913" s="6" t="s">
        <v>803</v>
      </c>
      <c r="C913" s="6" t="str">
        <f t="shared" si="180"/>
        <v>HC62 900</v>
      </c>
      <c r="D913" s="6" t="s">
        <v>795</v>
      </c>
      <c r="E913" s="20">
        <v>900</v>
      </c>
      <c r="F913" s="6" t="s">
        <v>180</v>
      </c>
      <c r="G913" s="6" t="s">
        <v>799</v>
      </c>
      <c r="H913" s="6" t="s">
        <v>977</v>
      </c>
      <c r="I913" s="6" t="s">
        <v>20</v>
      </c>
      <c r="J913" s="29">
        <v>17.55</v>
      </c>
      <c r="K913" s="8">
        <f t="shared" si="181"/>
        <v>1.2442771208018428</v>
      </c>
      <c r="L913" s="8">
        <f t="shared" si="182"/>
        <v>7.4702241358999659</v>
      </c>
      <c r="M913" s="8">
        <v>0.628</v>
      </c>
      <c r="N913" s="8">
        <v>2.2709999999999999</v>
      </c>
      <c r="O913" s="8">
        <v>0.67100000000000004</v>
      </c>
      <c r="P913" s="8">
        <v>1.8380000000000001</v>
      </c>
      <c r="Q913" s="8">
        <v>0.58899999999999997</v>
      </c>
      <c r="R913" s="8">
        <v>1.728</v>
      </c>
      <c r="S913" s="8">
        <v>0.86699999999999999</v>
      </c>
      <c r="T913" s="8">
        <v>2.0110000000000001</v>
      </c>
      <c r="U913" s="8">
        <f>(N913/M913)</f>
        <v>3.6162420382165603</v>
      </c>
      <c r="V913" s="8">
        <f>(P913/O913)</f>
        <v>2.7391952309985097</v>
      </c>
      <c r="W913" s="8">
        <f>(R913/Q913)</f>
        <v>2.9337860780984721</v>
      </c>
      <c r="X913" s="8">
        <f>(T913/S913)</f>
        <v>2.3194925028835067</v>
      </c>
      <c r="Y913" s="31">
        <f t="shared" si="183"/>
        <v>-0.46272418964933576</v>
      </c>
      <c r="Z913" s="31" t="str">
        <f t="shared" si="184"/>
        <v/>
      </c>
      <c r="AA913" s="31">
        <f t="shared" si="185"/>
        <v>-0.46272418964933576</v>
      </c>
    </row>
    <row r="914" spans="1:27" x14ac:dyDescent="0.25">
      <c r="A914" s="6" t="str">
        <f t="shared" si="179"/>
        <v>fragment</v>
      </c>
      <c r="B914" s="6" t="s">
        <v>803</v>
      </c>
      <c r="C914" s="6" t="str">
        <f t="shared" si="180"/>
        <v>HC62 900</v>
      </c>
      <c r="D914" s="6" t="s">
        <v>795</v>
      </c>
      <c r="E914" s="20">
        <v>900</v>
      </c>
      <c r="F914" s="6" t="s">
        <v>180</v>
      </c>
      <c r="G914" s="6" t="s">
        <v>800</v>
      </c>
      <c r="H914" s="6" t="s">
        <v>977</v>
      </c>
      <c r="I914" s="6" t="s">
        <v>20</v>
      </c>
      <c r="J914" s="29"/>
      <c r="K914" s="8" t="str">
        <f t="shared" si="181"/>
        <v/>
      </c>
      <c r="L914" s="8" t="str">
        <f t="shared" si="182"/>
        <v/>
      </c>
      <c r="M914" s="8"/>
      <c r="N914" s="8"/>
      <c r="O914" s="8"/>
      <c r="P914" s="8"/>
      <c r="Q914" s="8">
        <v>1.9929999999999999</v>
      </c>
      <c r="R914" s="8">
        <f>0.51+1.203+1.167+1.07+0.513</f>
        <v>4.4630000000000001</v>
      </c>
      <c r="S914" s="8"/>
      <c r="T914" s="8"/>
      <c r="U914" s="8"/>
      <c r="V914" s="8"/>
      <c r="W914" s="8">
        <f t="shared" ref="W914:W919" si="188">R914/Q914</f>
        <v>2.2393376818866031</v>
      </c>
      <c r="X914" s="8"/>
      <c r="Y914" s="31">
        <f t="shared" si="183"/>
        <v>-0.35011958814004185</v>
      </c>
      <c r="Z914" s="31">
        <f t="shared" si="184"/>
        <v>-0.35011958814004185</v>
      </c>
      <c r="AA914" s="31" t="str">
        <f t="shared" si="185"/>
        <v/>
      </c>
    </row>
    <row r="915" spans="1:27" x14ac:dyDescent="0.25">
      <c r="A915" s="6" t="str">
        <f t="shared" si="179"/>
        <v>fragment</v>
      </c>
      <c r="B915" s="6" t="s">
        <v>803</v>
      </c>
      <c r="C915" s="6" t="str">
        <f t="shared" si="180"/>
        <v>HC62 900</v>
      </c>
      <c r="D915" s="6" t="s">
        <v>795</v>
      </c>
      <c r="E915" s="20">
        <v>900</v>
      </c>
      <c r="F915" s="6" t="s">
        <v>180</v>
      </c>
      <c r="G915" s="6" t="s">
        <v>801</v>
      </c>
      <c r="H915" s="6" t="s">
        <v>977</v>
      </c>
      <c r="I915" s="6" t="s">
        <v>20</v>
      </c>
      <c r="J915" s="29"/>
      <c r="K915" s="8" t="str">
        <f t="shared" si="181"/>
        <v/>
      </c>
      <c r="L915" s="8" t="str">
        <f t="shared" si="182"/>
        <v/>
      </c>
      <c r="M915" s="8"/>
      <c r="N915" s="8"/>
      <c r="O915" s="8"/>
      <c r="P915" s="8"/>
      <c r="Q915" s="8">
        <v>1.897</v>
      </c>
      <c r="R915" s="8">
        <f>0.447+1.115+1.237+1.179+0.389</f>
        <v>4.3670000000000009</v>
      </c>
      <c r="S915" s="8"/>
      <c r="T915" s="8"/>
      <c r="U915" s="8"/>
      <c r="V915" s="8"/>
      <c r="W915" s="8">
        <f t="shared" si="188"/>
        <v>2.3020558777016347</v>
      </c>
      <c r="X915" s="8"/>
      <c r="Y915" s="31">
        <f t="shared" si="183"/>
        <v>-0.36211586103267762</v>
      </c>
      <c r="Z915" s="31">
        <f t="shared" si="184"/>
        <v>-0.36211586103267762</v>
      </c>
      <c r="AA915" s="31" t="str">
        <f t="shared" si="185"/>
        <v/>
      </c>
    </row>
    <row r="916" spans="1:27" x14ac:dyDescent="0.25">
      <c r="A916" s="6" t="str">
        <f t="shared" si="179"/>
        <v>fragment</v>
      </c>
      <c r="B916" s="6" t="s">
        <v>803</v>
      </c>
      <c r="C916" s="6" t="str">
        <f t="shared" si="180"/>
        <v>HC62 900</v>
      </c>
      <c r="D916" s="6" t="s">
        <v>795</v>
      </c>
      <c r="E916" s="20">
        <v>900</v>
      </c>
      <c r="F916" s="6" t="s">
        <v>180</v>
      </c>
      <c r="G916" s="6" t="s">
        <v>805</v>
      </c>
      <c r="H916" s="6" t="s">
        <v>977</v>
      </c>
      <c r="I916" s="6" t="s">
        <v>20</v>
      </c>
      <c r="J916" s="29"/>
      <c r="K916" s="8" t="str">
        <f t="shared" si="181"/>
        <v/>
      </c>
      <c r="L916" s="8" t="str">
        <f t="shared" si="182"/>
        <v/>
      </c>
      <c r="M916" s="8"/>
      <c r="N916" s="8"/>
      <c r="O916" s="8"/>
      <c r="P916" s="8"/>
      <c r="Q916" s="8">
        <v>2.077</v>
      </c>
      <c r="R916" s="8">
        <f>0.365+1.163+1.256+0.757</f>
        <v>3.5409999999999999</v>
      </c>
      <c r="S916" s="8">
        <v>2.1259999999999999</v>
      </c>
      <c r="T916" s="8">
        <f>0.351+1.025+1.497+1.291</f>
        <v>4.1639999999999997</v>
      </c>
      <c r="U916" s="8"/>
      <c r="V916" s="8"/>
      <c r="W916" s="8">
        <f t="shared" si="188"/>
        <v>1.7048627828598941</v>
      </c>
      <c r="X916" s="8">
        <f>T916/S916</f>
        <v>1.9586077140169331</v>
      </c>
      <c r="Y916" s="31">
        <f t="shared" si="183"/>
        <v>-0.26286270270996859</v>
      </c>
      <c r="Z916" s="31">
        <f t="shared" si="184"/>
        <v>-0.26286270270996859</v>
      </c>
      <c r="AA916" s="31" t="str">
        <f t="shared" si="185"/>
        <v/>
      </c>
    </row>
    <row r="917" spans="1:27" x14ac:dyDescent="0.25">
      <c r="A917" s="6" t="str">
        <f t="shared" si="179"/>
        <v>complete</v>
      </c>
      <c r="B917" s="6" t="s">
        <v>803</v>
      </c>
      <c r="C917" s="6" t="str">
        <f t="shared" si="180"/>
        <v>HC62 900</v>
      </c>
      <c r="D917" s="6" t="s">
        <v>795</v>
      </c>
      <c r="E917" s="20">
        <v>900</v>
      </c>
      <c r="F917" s="6" t="s">
        <v>180</v>
      </c>
      <c r="G917" s="6" t="s">
        <v>806</v>
      </c>
      <c r="H917" s="6" t="s">
        <v>977</v>
      </c>
      <c r="I917" s="6" t="s">
        <v>20</v>
      </c>
      <c r="J917" s="29">
        <v>33.872999999999998</v>
      </c>
      <c r="K917" s="8">
        <f t="shared" si="181"/>
        <v>1.5298536621228807</v>
      </c>
      <c r="L917" s="8">
        <f t="shared" si="182"/>
        <v>8.1277884228545858</v>
      </c>
      <c r="M917" s="8">
        <v>2.7410000000000001</v>
      </c>
      <c r="N917" s="8">
        <f>0.522+1.467+1.746+0.624</f>
        <v>4.359</v>
      </c>
      <c r="O917" s="8">
        <v>3.36</v>
      </c>
      <c r="P917" s="8">
        <f>0.58+1.358+1.63+1.48+0.119</f>
        <v>5.1669999999999998</v>
      </c>
      <c r="Q917" s="8">
        <v>1.98</v>
      </c>
      <c r="R917" s="8">
        <f>0.679+0.812+0.832+0.907+0.819</f>
        <v>4.0489999999999995</v>
      </c>
      <c r="S917" s="8"/>
      <c r="T917" s="8"/>
      <c r="U917" s="8">
        <f>N917/M917</f>
        <v>1.5902955125866471</v>
      </c>
      <c r="V917" s="8">
        <f>P917/O917</f>
        <v>1.537797619047619</v>
      </c>
      <c r="W917" s="8">
        <f t="shared" si="188"/>
        <v>2.0449494949494946</v>
      </c>
      <c r="X917" s="8"/>
      <c r="Y917" s="31">
        <f t="shared" si="183"/>
        <v>-0.23662480235051364</v>
      </c>
      <c r="Z917" s="31" t="str">
        <f t="shared" si="184"/>
        <v/>
      </c>
      <c r="AA917" s="31">
        <f t="shared" si="185"/>
        <v>-0.23662480235051364</v>
      </c>
    </row>
    <row r="918" spans="1:27" x14ac:dyDescent="0.25">
      <c r="A918" s="6" t="str">
        <f t="shared" si="179"/>
        <v>fragment</v>
      </c>
      <c r="B918" s="6" t="s">
        <v>803</v>
      </c>
      <c r="C918" s="6" t="str">
        <f t="shared" si="180"/>
        <v>HC62 900</v>
      </c>
      <c r="D918" s="6" t="s">
        <v>795</v>
      </c>
      <c r="E918" s="20">
        <v>900</v>
      </c>
      <c r="F918" s="6" t="s">
        <v>180</v>
      </c>
      <c r="G918" s="6" t="s">
        <v>807</v>
      </c>
      <c r="H918" s="6" t="s">
        <v>977</v>
      </c>
      <c r="I918" s="6" t="s">
        <v>20</v>
      </c>
      <c r="J918" s="29"/>
      <c r="K918" s="8" t="str">
        <f t="shared" si="181"/>
        <v/>
      </c>
      <c r="L918" s="8" t="str">
        <f t="shared" si="182"/>
        <v/>
      </c>
      <c r="M918" s="8"/>
      <c r="N918" s="8"/>
      <c r="O918" s="8">
        <v>2.7229999999999999</v>
      </c>
      <c r="P918" s="8">
        <f>1.019+1.503+1.401+0.279</f>
        <v>4.202</v>
      </c>
      <c r="Q918" s="8">
        <v>1.6800000000000002</v>
      </c>
      <c r="R918" s="8">
        <f>0.837+0.99+0.907+0.57</f>
        <v>3.3039999999999998</v>
      </c>
      <c r="S918" s="8">
        <v>4.8410000000000002</v>
      </c>
      <c r="T918" s="8">
        <f>0.49+1.506+1.917+1.859+1.577+1.486+0.432</f>
        <v>9.2670000000000012</v>
      </c>
      <c r="U918" s="8"/>
      <c r="V918" s="8">
        <f>P918/O918</f>
        <v>1.5431509364671319</v>
      </c>
      <c r="W918" s="8">
        <f t="shared" si="188"/>
        <v>1.9666666666666663</v>
      </c>
      <c r="X918" s="8">
        <f>T918/S918</f>
        <v>1.9142739103491015</v>
      </c>
      <c r="Y918" s="31">
        <f t="shared" si="183"/>
        <v>-0.25720575347440522</v>
      </c>
      <c r="Z918" s="31">
        <f t="shared" si="184"/>
        <v>-0.25720575347440522</v>
      </c>
      <c r="AA918" s="31" t="str">
        <f t="shared" si="185"/>
        <v/>
      </c>
    </row>
    <row r="919" spans="1:27" x14ac:dyDescent="0.25">
      <c r="A919" s="6" t="str">
        <f t="shared" si="179"/>
        <v>complete</v>
      </c>
      <c r="B919" s="6" t="s">
        <v>803</v>
      </c>
      <c r="C919" s="6" t="str">
        <f t="shared" si="180"/>
        <v>HC62 900</v>
      </c>
      <c r="D919" s="6" t="s">
        <v>795</v>
      </c>
      <c r="E919" s="20">
        <v>900</v>
      </c>
      <c r="F919" s="6" t="s">
        <v>180</v>
      </c>
      <c r="G919" s="6" t="s">
        <v>808</v>
      </c>
      <c r="H919" s="6" t="s">
        <v>977</v>
      </c>
      <c r="I919" s="6" t="s">
        <v>20</v>
      </c>
      <c r="J919" s="29">
        <f>3.819*2</f>
        <v>7.6379999999999999</v>
      </c>
      <c r="K919" s="8">
        <f t="shared" si="181"/>
        <v>0.88297965403729906</v>
      </c>
      <c r="L919" s="8">
        <f t="shared" si="182"/>
        <v>6.6383059747914155</v>
      </c>
      <c r="M919" s="8">
        <v>0.88300000000000001</v>
      </c>
      <c r="N919" s="8">
        <f>0.448+0.797+0.812+0.922+0.512</f>
        <v>3.4910000000000005</v>
      </c>
      <c r="O919" s="8"/>
      <c r="P919" s="8"/>
      <c r="Q919" s="8">
        <v>0.64200000000000002</v>
      </c>
      <c r="R919" s="8">
        <f>0.262+0.75+0.683+0.611+0.134</f>
        <v>2.44</v>
      </c>
      <c r="S919" s="8"/>
      <c r="T919" s="8"/>
      <c r="U919" s="8">
        <f>N919/M919</f>
        <v>3.9535673839184602</v>
      </c>
      <c r="V919" s="8"/>
      <c r="W919" s="8">
        <f t="shared" si="188"/>
        <v>3.8006230529595015</v>
      </c>
      <c r="X919" s="8"/>
      <c r="Y919" s="31">
        <f t="shared" si="183"/>
        <v>-0.58850646707242127</v>
      </c>
      <c r="Z919" s="31" t="str">
        <f t="shared" si="184"/>
        <v/>
      </c>
      <c r="AA919" s="31">
        <f t="shared" si="185"/>
        <v>-0.58850646707242127</v>
      </c>
    </row>
    <row r="920" spans="1:27" x14ac:dyDescent="0.25">
      <c r="A920" s="6" t="str">
        <f t="shared" si="179"/>
        <v>fragment</v>
      </c>
      <c r="B920" s="6" t="s">
        <v>803</v>
      </c>
      <c r="C920" s="6" t="str">
        <f t="shared" si="180"/>
        <v>HC62 900</v>
      </c>
      <c r="D920" s="6" t="s">
        <v>795</v>
      </c>
      <c r="E920" s="20">
        <v>900</v>
      </c>
      <c r="F920" s="6" t="s">
        <v>180</v>
      </c>
      <c r="G920" s="6" t="s">
        <v>810</v>
      </c>
      <c r="H920" s="6" t="s">
        <v>977</v>
      </c>
      <c r="I920" s="6" t="s">
        <v>20</v>
      </c>
      <c r="J920" s="29"/>
      <c r="K920" s="8" t="str">
        <f t="shared" si="181"/>
        <v/>
      </c>
      <c r="L920" s="8" t="str">
        <f t="shared" si="182"/>
        <v/>
      </c>
      <c r="M920" s="8"/>
      <c r="N920" s="8"/>
      <c r="O920" s="8">
        <v>6.8019999999999996</v>
      </c>
      <c r="P920" s="8">
        <f>1.015+2.572+2.735+1.531</f>
        <v>7.8529999999999989</v>
      </c>
      <c r="Q920" s="8"/>
      <c r="R920" s="8"/>
      <c r="S920" s="8">
        <v>6.1360000000000001</v>
      </c>
      <c r="T920" s="8">
        <f>1.411+2.218+1.864+1.783+0.81</f>
        <v>8.0860000000000003</v>
      </c>
      <c r="U920" s="8"/>
      <c r="V920" s="8">
        <f>P920/O920</f>
        <v>1.1545133784181123</v>
      </c>
      <c r="W920" s="8"/>
      <c r="X920" s="8">
        <f>T920/S920</f>
        <v>1.3177966101694916</v>
      </c>
      <c r="Y920" s="31">
        <f t="shared" si="183"/>
        <v>-9.2072927829127779E-2</v>
      </c>
      <c r="Z920" s="31">
        <f t="shared" si="184"/>
        <v>-9.2072927829127779E-2</v>
      </c>
      <c r="AA920" s="31" t="str">
        <f t="shared" si="185"/>
        <v/>
      </c>
    </row>
    <row r="921" spans="1:27" x14ac:dyDescent="0.25">
      <c r="A921" s="6" t="str">
        <f t="shared" si="179"/>
        <v>complete</v>
      </c>
      <c r="B921" s="6" t="s">
        <v>767</v>
      </c>
      <c r="C921" s="6" t="str">
        <f t="shared" si="180"/>
        <v>HC64 2095</v>
      </c>
      <c r="D921" s="6" t="s">
        <v>855</v>
      </c>
      <c r="E921" s="20">
        <v>2095</v>
      </c>
      <c r="G921" s="6" t="s">
        <v>793</v>
      </c>
      <c r="H921" s="6" t="s">
        <v>977</v>
      </c>
      <c r="I921" s="8" t="s">
        <v>5</v>
      </c>
      <c r="J921" s="29">
        <v>17.831130000000002</v>
      </c>
      <c r="K921" s="8">
        <f t="shared" si="181"/>
        <v>1.2511788662944883</v>
      </c>
      <c r="L921" s="8">
        <f t="shared" si="182"/>
        <v>7.4861159921869707</v>
      </c>
      <c r="M921" s="8">
        <v>1.0009999999999999</v>
      </c>
      <c r="N921" s="8">
        <f>0.524+0.755+0.959</f>
        <v>2.238</v>
      </c>
      <c r="O921" s="8"/>
      <c r="P921" s="8"/>
      <c r="Q921" s="8"/>
      <c r="R921" s="8"/>
      <c r="S921" s="8">
        <v>1.494</v>
      </c>
      <c r="T921" s="8">
        <f>0.663+1.198+1.518+0.586</f>
        <v>3.9649999999999999</v>
      </c>
      <c r="U921" s="8">
        <f>N921/M921</f>
        <v>2.2357642357642362</v>
      </c>
      <c r="V921" s="8"/>
      <c r="W921" s="8"/>
      <c r="X921" s="8">
        <f>T921/S921</f>
        <v>2.653949129852744</v>
      </c>
      <c r="Y921" s="31">
        <f t="shared" si="183"/>
        <v>-0.3882534059178378</v>
      </c>
      <c r="Z921" s="31" t="str">
        <f t="shared" si="184"/>
        <v/>
      </c>
      <c r="AA921" s="31">
        <f t="shared" si="185"/>
        <v>-0.3882534059178378</v>
      </c>
    </row>
    <row r="922" spans="1:27" x14ac:dyDescent="0.25">
      <c r="A922" s="6" t="str">
        <f t="shared" si="179"/>
        <v>complete</v>
      </c>
      <c r="B922" s="6" t="s">
        <v>767</v>
      </c>
      <c r="C922" s="6" t="str">
        <f t="shared" si="180"/>
        <v>HC64 566</v>
      </c>
      <c r="D922" s="6" t="s">
        <v>855</v>
      </c>
      <c r="E922" s="20">
        <v>566</v>
      </c>
      <c r="G922" s="6" t="s">
        <v>779</v>
      </c>
      <c r="H922" s="6" t="s">
        <v>1194</v>
      </c>
      <c r="I922" s="8" t="s">
        <v>5</v>
      </c>
      <c r="J922" s="29">
        <v>24.786000000000001</v>
      </c>
      <c r="K922" s="8">
        <f t="shared" si="181"/>
        <v>1.3942064453602299</v>
      </c>
      <c r="L922" s="8">
        <f t="shared" si="182"/>
        <v>7.8154491636307739</v>
      </c>
      <c r="M922" s="8">
        <v>1.6879999999999999</v>
      </c>
      <c r="N922" s="8">
        <f>0.895+1.553</f>
        <v>2.448</v>
      </c>
      <c r="O922" s="8">
        <v>2.1589999999999998</v>
      </c>
      <c r="P922" s="8">
        <f>1.895+1.248</f>
        <v>3.1429999999999998</v>
      </c>
      <c r="Q922" s="8"/>
      <c r="R922" s="8"/>
      <c r="S922" s="8"/>
      <c r="T922" s="8"/>
      <c r="U922" s="8">
        <f>N922/M922</f>
        <v>1.4502369668246446</v>
      </c>
      <c r="V922" s="8">
        <f t="shared" ref="V922:V939" si="189">P922/O922</f>
        <v>1.4557665585919408</v>
      </c>
      <c r="W922" s="8"/>
      <c r="X922" s="8"/>
      <c r="Y922" s="31">
        <f t="shared" si="183"/>
        <v>-0.16226614116245403</v>
      </c>
      <c r="Z922" s="31" t="str">
        <f t="shared" si="184"/>
        <v/>
      </c>
      <c r="AA922" s="31">
        <f t="shared" si="185"/>
        <v>-0.16226614116245403</v>
      </c>
    </row>
    <row r="923" spans="1:27" x14ac:dyDescent="0.25">
      <c r="A923" s="6" t="str">
        <f t="shared" si="179"/>
        <v>complete</v>
      </c>
      <c r="B923" s="6" t="s">
        <v>767</v>
      </c>
      <c r="C923" s="6" t="str">
        <f t="shared" si="180"/>
        <v>HC64 568</v>
      </c>
      <c r="D923" s="6" t="s">
        <v>855</v>
      </c>
      <c r="E923" s="20">
        <v>568</v>
      </c>
      <c r="G923" s="6" t="s">
        <v>789</v>
      </c>
      <c r="H923" s="6" t="s">
        <v>979</v>
      </c>
      <c r="I923" s="8" t="s">
        <v>5</v>
      </c>
      <c r="J923" s="29">
        <v>14.194000000000001</v>
      </c>
      <c r="K923" s="8">
        <f t="shared" si="181"/>
        <v>1.152104800892868</v>
      </c>
      <c r="L923" s="8">
        <f t="shared" si="182"/>
        <v>7.2579895260908822</v>
      </c>
      <c r="M923" s="8"/>
      <c r="N923" s="8"/>
      <c r="O923" s="8">
        <v>3.54</v>
      </c>
      <c r="P923" s="8">
        <f>0.895+2.934+1.725+0.477+0.201</f>
        <v>6.2320000000000002</v>
      </c>
      <c r="Q923" s="8"/>
      <c r="R923" s="8"/>
      <c r="S923" s="8">
        <v>1.907</v>
      </c>
      <c r="T923" s="8">
        <f>0.906+1.415+0.687</f>
        <v>3.008</v>
      </c>
      <c r="U923" s="8"/>
      <c r="V923" s="8">
        <f t="shared" si="189"/>
        <v>1.76045197740113</v>
      </c>
      <c r="W923" s="8"/>
      <c r="X923" s="8">
        <f>T923/S923</f>
        <v>1.5773466177241742</v>
      </c>
      <c r="Y923" s="31">
        <f t="shared" si="183"/>
        <v>-0.22243013186659727</v>
      </c>
      <c r="Z923" s="31" t="str">
        <f t="shared" si="184"/>
        <v/>
      </c>
      <c r="AA923" s="31">
        <f t="shared" si="185"/>
        <v>-0.22243013186659727</v>
      </c>
    </row>
    <row r="924" spans="1:27" x14ac:dyDescent="0.25">
      <c r="A924" s="6" t="str">
        <f t="shared" si="179"/>
        <v>complete</v>
      </c>
      <c r="B924" s="6" t="s">
        <v>767</v>
      </c>
      <c r="C924" s="6" t="str">
        <f t="shared" si="180"/>
        <v>HC64 568</v>
      </c>
      <c r="D924" s="6" t="s">
        <v>855</v>
      </c>
      <c r="E924" s="20">
        <v>568</v>
      </c>
      <c r="G924" s="6" t="s">
        <v>790</v>
      </c>
      <c r="H924" s="6" t="s">
        <v>979</v>
      </c>
      <c r="I924" s="8" t="s">
        <v>5</v>
      </c>
      <c r="J924" s="29">
        <v>8.1289999999999996</v>
      </c>
      <c r="K924" s="8">
        <f t="shared" si="181"/>
        <v>0.91003712355305078</v>
      </c>
      <c r="L924" s="8">
        <f t="shared" si="182"/>
        <v>6.7006081007525262</v>
      </c>
      <c r="M924" s="8">
        <v>1.079</v>
      </c>
      <c r="N924" s="8">
        <f>0.411+1.411+0.724</f>
        <v>2.5460000000000003</v>
      </c>
      <c r="O924" s="8">
        <v>1.0229999999999999</v>
      </c>
      <c r="P924" s="8">
        <f>0.206+1.104+1.058+0.205</f>
        <v>2.5730000000000004</v>
      </c>
      <c r="Q924" s="8"/>
      <c r="R924" s="8"/>
      <c r="S924" s="8"/>
      <c r="T924" s="8"/>
      <c r="U924" s="8">
        <f>N924/M924</f>
        <v>2.3595922150139019</v>
      </c>
      <c r="V924" s="8">
        <f t="shared" si="189"/>
        <v>2.5151515151515156</v>
      </c>
      <c r="W924" s="8"/>
      <c r="X924" s="8"/>
      <c r="Y924" s="31">
        <f t="shared" si="183"/>
        <v>-0.38692179370381158</v>
      </c>
      <c r="Z924" s="31" t="str">
        <f t="shared" si="184"/>
        <v/>
      </c>
      <c r="AA924" s="31">
        <f t="shared" si="185"/>
        <v>-0.38692179370381158</v>
      </c>
    </row>
    <row r="925" spans="1:27" x14ac:dyDescent="0.25">
      <c r="A925" s="6" t="str">
        <f t="shared" si="179"/>
        <v>complete</v>
      </c>
      <c r="B925" s="6" t="s">
        <v>767</v>
      </c>
      <c r="C925" s="6" t="str">
        <f t="shared" si="180"/>
        <v>HC64 571</v>
      </c>
      <c r="D925" s="6" t="s">
        <v>855</v>
      </c>
      <c r="E925" s="20">
        <v>571</v>
      </c>
      <c r="F925" s="6" t="s">
        <v>545</v>
      </c>
      <c r="G925" s="6" t="s">
        <v>768</v>
      </c>
      <c r="H925" s="6" t="s">
        <v>977</v>
      </c>
      <c r="I925" s="6" t="s">
        <v>5</v>
      </c>
      <c r="J925" s="29">
        <v>53.177999999999997</v>
      </c>
      <c r="K925" s="8">
        <f t="shared" si="181"/>
        <v>1.7257319996879661</v>
      </c>
      <c r="L925" s="8">
        <f t="shared" si="182"/>
        <v>8.5788149629724071</v>
      </c>
      <c r="M925" s="8">
        <v>1.589</v>
      </c>
      <c r="N925" s="8">
        <f>0.818+0.975+0.719</f>
        <v>2.512</v>
      </c>
      <c r="O925" s="8">
        <v>6.26</v>
      </c>
      <c r="P925" s="8">
        <f>1.366+3.092+2.453+0.998</f>
        <v>7.9089999999999998</v>
      </c>
      <c r="Q925" s="8"/>
      <c r="R925" s="8"/>
      <c r="S925" s="8">
        <v>5.6689999999999996</v>
      </c>
      <c r="T925" s="8">
        <f>1.227+2.916+2.693+2.404</f>
        <v>9.24</v>
      </c>
      <c r="U925" s="8">
        <f>N925/M925</f>
        <v>1.5808684707363121</v>
      </c>
      <c r="V925" s="8">
        <f t="shared" si="189"/>
        <v>1.2634185303514378</v>
      </c>
      <c r="W925" s="8"/>
      <c r="X925" s="8">
        <f>T925/S925</f>
        <v>1.6299170929617217</v>
      </c>
      <c r="Y925" s="31">
        <f t="shared" si="183"/>
        <v>-0.17359453614909007</v>
      </c>
      <c r="Z925" s="31" t="str">
        <f t="shared" si="184"/>
        <v/>
      </c>
      <c r="AA925" s="31">
        <f t="shared" si="185"/>
        <v>-0.17359453614909007</v>
      </c>
    </row>
    <row r="926" spans="1:27" x14ac:dyDescent="0.25">
      <c r="A926" s="6" t="str">
        <f t="shared" si="179"/>
        <v>complete</v>
      </c>
      <c r="B926" s="6" t="s">
        <v>767</v>
      </c>
      <c r="C926" s="6" t="str">
        <f t="shared" si="180"/>
        <v>HC64 571</v>
      </c>
      <c r="D926" s="6" t="s">
        <v>855</v>
      </c>
      <c r="E926" s="20">
        <v>571</v>
      </c>
      <c r="F926" s="6" t="s">
        <v>545</v>
      </c>
      <c r="G926" s="6" t="s">
        <v>772</v>
      </c>
      <c r="H926" s="6" t="s">
        <v>977</v>
      </c>
      <c r="I926" s="6" t="s">
        <v>5</v>
      </c>
      <c r="J926" s="29">
        <v>34.590000000000003</v>
      </c>
      <c r="K926" s="8">
        <f t="shared" si="181"/>
        <v>1.5389505620143615</v>
      </c>
      <c r="L926" s="8">
        <f t="shared" si="182"/>
        <v>8.1487348089371689</v>
      </c>
      <c r="M926" s="8">
        <v>2.4900000000000002</v>
      </c>
      <c r="N926" s="8">
        <f>0.484+1.24+1.938+0.871</f>
        <v>4.5329999999999995</v>
      </c>
      <c r="O926" s="8">
        <v>5.4009999999999998</v>
      </c>
      <c r="P926" s="8">
        <f>1.508+3.357+1.999</f>
        <v>6.8640000000000008</v>
      </c>
      <c r="Q926" s="8">
        <v>1.8919999999999999</v>
      </c>
      <c r="R926" s="8">
        <f>0.761+1.148+0.402</f>
        <v>2.3109999999999999</v>
      </c>
      <c r="S926" s="8"/>
      <c r="T926" s="8"/>
      <c r="U926" s="8">
        <f>N926/M926</f>
        <v>1.8204819277108431</v>
      </c>
      <c r="V926" s="8">
        <f t="shared" si="189"/>
        <v>1.2708757637474544</v>
      </c>
      <c r="W926" s="8">
        <f>R926/Q926</f>
        <v>1.2214587737843552</v>
      </c>
      <c r="X926" s="8"/>
      <c r="Y926" s="31">
        <f t="shared" si="183"/>
        <v>-0.15763972213059116</v>
      </c>
      <c r="Z926" s="31" t="str">
        <f t="shared" si="184"/>
        <v/>
      </c>
      <c r="AA926" s="31">
        <f t="shared" si="185"/>
        <v>-0.15763972213059116</v>
      </c>
    </row>
    <row r="927" spans="1:27" x14ac:dyDescent="0.25">
      <c r="A927" s="6" t="str">
        <f t="shared" si="179"/>
        <v>complete</v>
      </c>
      <c r="B927" s="6" t="s">
        <v>767</v>
      </c>
      <c r="C927" s="6" t="str">
        <f t="shared" si="180"/>
        <v>HC64 571</v>
      </c>
      <c r="D927" s="6" t="s">
        <v>855</v>
      </c>
      <c r="E927" s="20">
        <v>571</v>
      </c>
      <c r="F927" s="6" t="s">
        <v>545</v>
      </c>
      <c r="G927" s="6" t="s">
        <v>773</v>
      </c>
      <c r="H927" s="6" t="s">
        <v>977</v>
      </c>
      <c r="I927" s="6" t="s">
        <v>5</v>
      </c>
      <c r="J927" s="29">
        <v>52.109000000000002</v>
      </c>
      <c r="K927" s="8">
        <f t="shared" si="181"/>
        <v>1.716912738899844</v>
      </c>
      <c r="L927" s="8">
        <f t="shared" si="182"/>
        <v>8.5585078645504495</v>
      </c>
      <c r="M927" s="8">
        <v>3.2189999999999999</v>
      </c>
      <c r="N927" s="8">
        <f>1.075+2.208+1.276</f>
        <v>4.5590000000000002</v>
      </c>
      <c r="O927" s="8">
        <v>9.0180000000000007</v>
      </c>
      <c r="P927" s="8">
        <f>2.049+4.126+1.849</f>
        <v>8.0240000000000009</v>
      </c>
      <c r="Q927" s="8">
        <v>2.8559999999999999</v>
      </c>
      <c r="R927" s="8">
        <f>1.063+1.35+0.835</f>
        <v>3.2480000000000002</v>
      </c>
      <c r="S927" s="8"/>
      <c r="T927" s="8"/>
      <c r="U927" s="8">
        <f>N927/M927</f>
        <v>1.4162783473128302</v>
      </c>
      <c r="V927" s="8">
        <f t="shared" si="189"/>
        <v>0.88977600354845865</v>
      </c>
      <c r="W927" s="8">
        <f>R927/Q927</f>
        <v>1.1372549019607845</v>
      </c>
      <c r="X927" s="8"/>
      <c r="Y927" s="31">
        <f t="shared" si="183"/>
        <v>-5.9854774886763232E-2</v>
      </c>
      <c r="Z927" s="31" t="str">
        <f t="shared" si="184"/>
        <v/>
      </c>
      <c r="AA927" s="31">
        <f t="shared" si="185"/>
        <v>-5.9854774886763232E-2</v>
      </c>
    </row>
    <row r="928" spans="1:27" x14ac:dyDescent="0.25">
      <c r="A928" s="6" t="str">
        <f t="shared" si="179"/>
        <v>complete</v>
      </c>
      <c r="B928" s="6" t="s">
        <v>767</v>
      </c>
      <c r="C928" s="6" t="str">
        <f t="shared" si="180"/>
        <v>HC64 571</v>
      </c>
      <c r="D928" s="6" t="s">
        <v>855</v>
      </c>
      <c r="E928" s="20">
        <v>571</v>
      </c>
      <c r="F928" s="6" t="s">
        <v>545</v>
      </c>
      <c r="G928" s="6" t="s">
        <v>775</v>
      </c>
      <c r="H928" s="6" t="s">
        <v>977</v>
      </c>
      <c r="I928" s="6" t="s">
        <v>5</v>
      </c>
      <c r="J928" s="29">
        <v>39.783000000000001</v>
      </c>
      <c r="K928" s="8">
        <f t="shared" si="181"/>
        <v>1.5996975297768492</v>
      </c>
      <c r="L928" s="8">
        <f t="shared" si="182"/>
        <v>8.2886098713516638</v>
      </c>
      <c r="M928" s="8"/>
      <c r="N928" s="8"/>
      <c r="O928" s="8">
        <v>2.855</v>
      </c>
      <c r="P928" s="8">
        <f>0.625+1.427+1.936+1.215</f>
        <v>5.2030000000000003</v>
      </c>
      <c r="Q928" s="8"/>
      <c r="R928" s="8"/>
      <c r="S928" s="8">
        <v>5.3010000000000002</v>
      </c>
      <c r="T928" s="8">
        <f>0.854+2.695+2.553</f>
        <v>6.1020000000000003</v>
      </c>
      <c r="U928" s="8"/>
      <c r="V928" s="8">
        <f t="shared" si="189"/>
        <v>1.8224168126094573</v>
      </c>
      <c r="W928" s="8"/>
      <c r="X928" s="8">
        <f t="shared" ref="X928:X934" si="190">T928/S928</f>
        <v>1.1511035653650254</v>
      </c>
      <c r="Y928" s="31">
        <f t="shared" si="183"/>
        <v>-0.17224092346576425</v>
      </c>
      <c r="Z928" s="31" t="str">
        <f t="shared" si="184"/>
        <v/>
      </c>
      <c r="AA928" s="31">
        <f t="shared" si="185"/>
        <v>-0.17224092346576425</v>
      </c>
    </row>
    <row r="929" spans="1:27" x14ac:dyDescent="0.25">
      <c r="A929" s="6" t="str">
        <f t="shared" si="179"/>
        <v>complete</v>
      </c>
      <c r="B929" s="6" t="s">
        <v>767</v>
      </c>
      <c r="C929" s="6" t="str">
        <f t="shared" si="180"/>
        <v>HC64 571</v>
      </c>
      <c r="D929" s="6" t="s">
        <v>855</v>
      </c>
      <c r="E929" s="20">
        <v>571</v>
      </c>
      <c r="F929" s="6" t="s">
        <v>545</v>
      </c>
      <c r="G929" s="6" t="s">
        <v>777</v>
      </c>
      <c r="H929" s="6" t="s">
        <v>977</v>
      </c>
      <c r="I929" s="6" t="s">
        <v>5</v>
      </c>
      <c r="J929" s="29">
        <v>11.961</v>
      </c>
      <c r="K929" s="8">
        <f t="shared" si="181"/>
        <v>1.0777674903820569</v>
      </c>
      <c r="L929" s="8">
        <f t="shared" si="182"/>
        <v>7.0868215430554189</v>
      </c>
      <c r="M929" s="8"/>
      <c r="N929" s="8"/>
      <c r="O929" s="8">
        <v>7.976</v>
      </c>
      <c r="P929" s="8">
        <f>1.629+2.798+2.195+1.223</f>
        <v>7.8449999999999998</v>
      </c>
      <c r="Q929" s="8"/>
      <c r="R929" s="8"/>
      <c r="S929" s="8">
        <v>5.3929999999999998</v>
      </c>
      <c r="T929" s="8">
        <f>1.091+2.222+1.896+0.863</f>
        <v>6.0719999999999992</v>
      </c>
      <c r="U929" s="8"/>
      <c r="V929" s="8">
        <f t="shared" si="189"/>
        <v>0.98357572718154462</v>
      </c>
      <c r="W929" s="8"/>
      <c r="X929" s="8">
        <f t="shared" si="190"/>
        <v>1.1259039495642498</v>
      </c>
      <c r="Y929" s="31">
        <f t="shared" si="183"/>
        <v>-2.3145349972537713E-2</v>
      </c>
      <c r="Z929" s="31" t="str">
        <f t="shared" si="184"/>
        <v/>
      </c>
      <c r="AA929" s="31">
        <f t="shared" si="185"/>
        <v>-2.3145349972537713E-2</v>
      </c>
    </row>
    <row r="930" spans="1:27" x14ac:dyDescent="0.25">
      <c r="A930" s="6" t="str">
        <f t="shared" si="179"/>
        <v>fragment</v>
      </c>
      <c r="B930" s="6" t="s">
        <v>767</v>
      </c>
      <c r="C930" s="6" t="str">
        <f t="shared" si="180"/>
        <v>HC64 571</v>
      </c>
      <c r="D930" s="6" t="s">
        <v>855</v>
      </c>
      <c r="E930" s="20">
        <v>571</v>
      </c>
      <c r="F930" s="6" t="s">
        <v>545</v>
      </c>
      <c r="G930" s="6" t="s">
        <v>856</v>
      </c>
      <c r="H930" s="6" t="s">
        <v>977</v>
      </c>
      <c r="I930" s="6" t="s">
        <v>5</v>
      </c>
      <c r="J930" s="29"/>
      <c r="K930" s="8" t="str">
        <f t="shared" si="181"/>
        <v/>
      </c>
      <c r="L930" s="8" t="str">
        <f t="shared" si="182"/>
        <v/>
      </c>
      <c r="M930" s="8"/>
      <c r="N930" s="8"/>
      <c r="O930" s="8">
        <v>2.1190000000000002</v>
      </c>
      <c r="P930" s="8">
        <f>0.609+1.57+1.426+0.588</f>
        <v>4.1930000000000005</v>
      </c>
      <c r="Q930" s="8"/>
      <c r="R930" s="8"/>
      <c r="S930" s="8">
        <v>3.2170000000000001</v>
      </c>
      <c r="T930" s="8">
        <f>0.983+2.666+2.375</f>
        <v>6.024</v>
      </c>
      <c r="U930" s="8"/>
      <c r="V930" s="8">
        <f t="shared" si="189"/>
        <v>1.978763567720623</v>
      </c>
      <c r="W930" s="8"/>
      <c r="X930" s="8">
        <f t="shared" si="190"/>
        <v>1.8725520671433011</v>
      </c>
      <c r="Y930" s="31">
        <f t="shared" si="183"/>
        <v>-0.28457911705441508</v>
      </c>
      <c r="Z930" s="31">
        <f t="shared" si="184"/>
        <v>-0.28457911705441508</v>
      </c>
      <c r="AA930" s="31" t="str">
        <f t="shared" si="185"/>
        <v/>
      </c>
    </row>
    <row r="931" spans="1:27" x14ac:dyDescent="0.25">
      <c r="A931" s="6" t="str">
        <f t="shared" si="179"/>
        <v>complete</v>
      </c>
      <c r="B931" s="6" t="s">
        <v>767</v>
      </c>
      <c r="C931" s="6" t="str">
        <f t="shared" si="180"/>
        <v>HC64 571</v>
      </c>
      <c r="D931" s="6" t="s">
        <v>855</v>
      </c>
      <c r="E931" s="20">
        <v>571</v>
      </c>
      <c r="F931" s="6" t="s">
        <v>545</v>
      </c>
      <c r="G931" s="6" t="s">
        <v>857</v>
      </c>
      <c r="H931" s="6" t="s">
        <v>977</v>
      </c>
      <c r="I931" s="6" t="s">
        <v>5</v>
      </c>
      <c r="J931" s="29">
        <v>33.375</v>
      </c>
      <c r="K931" s="8">
        <f t="shared" si="181"/>
        <v>1.5234212743726316</v>
      </c>
      <c r="L931" s="8">
        <f t="shared" si="182"/>
        <v>8.1129773027085044</v>
      </c>
      <c r="M931" s="8"/>
      <c r="N931" s="8"/>
      <c r="O931" s="8">
        <v>6.6950000000000003</v>
      </c>
      <c r="P931" s="8">
        <f>2.191+2.855+0.13+2.544+1.092</f>
        <v>8.8119999999999994</v>
      </c>
      <c r="Q931" s="8"/>
      <c r="R931" s="8"/>
      <c r="S931" s="8">
        <v>2.9220000000000002</v>
      </c>
      <c r="T931" s="8">
        <f>1.034+1.518+1.774+0.696</f>
        <v>5.0220000000000002</v>
      </c>
      <c r="U931" s="8"/>
      <c r="V931" s="8">
        <f t="shared" si="189"/>
        <v>1.3162061239731142</v>
      </c>
      <c r="W931" s="8"/>
      <c r="X931" s="8">
        <f t="shared" si="190"/>
        <v>1.7186858316221765</v>
      </c>
      <c r="Y931" s="31">
        <f t="shared" si="183"/>
        <v>-0.18111323881681607</v>
      </c>
      <c r="Z931" s="31" t="str">
        <f t="shared" si="184"/>
        <v/>
      </c>
      <c r="AA931" s="31">
        <f t="shared" si="185"/>
        <v>-0.18111323881681607</v>
      </c>
    </row>
    <row r="932" spans="1:27" x14ac:dyDescent="0.25">
      <c r="A932" s="6" t="str">
        <f t="shared" si="179"/>
        <v>fragment</v>
      </c>
      <c r="B932" s="6" t="s">
        <v>767</v>
      </c>
      <c r="C932" s="6" t="str">
        <f t="shared" si="180"/>
        <v>HC64 571</v>
      </c>
      <c r="D932" s="6" t="s">
        <v>855</v>
      </c>
      <c r="E932" s="20">
        <v>571</v>
      </c>
      <c r="F932" s="6" t="s">
        <v>545</v>
      </c>
      <c r="G932" s="6" t="s">
        <v>858</v>
      </c>
      <c r="H932" s="6" t="s">
        <v>977</v>
      </c>
      <c r="I932" s="6" t="s">
        <v>5</v>
      </c>
      <c r="J932" s="29"/>
      <c r="K932" s="8" t="str">
        <f t="shared" si="181"/>
        <v/>
      </c>
      <c r="L932" s="8" t="str">
        <f t="shared" si="182"/>
        <v/>
      </c>
      <c r="M932" s="8"/>
      <c r="N932" s="8"/>
      <c r="O932" s="8">
        <v>2.5590000000000002</v>
      </c>
      <c r="P932" s="8">
        <f>0.728+1.182+0.97</f>
        <v>2.88</v>
      </c>
      <c r="Q932" s="8"/>
      <c r="R932" s="8"/>
      <c r="S932" s="8">
        <v>3.4710000000000001</v>
      </c>
      <c r="T932" s="8">
        <f>1.604+1.685</f>
        <v>3.2890000000000001</v>
      </c>
      <c r="U932" s="8"/>
      <c r="V932" s="8">
        <f t="shared" si="189"/>
        <v>1.1254396248534582</v>
      </c>
      <c r="W932" s="8"/>
      <c r="X932" s="8">
        <f t="shared" si="190"/>
        <v>0.94756554307116103</v>
      </c>
      <c r="Y932" s="31">
        <f t="shared" si="183"/>
        <v>-1.5570389111185683E-2</v>
      </c>
      <c r="Z932" s="31">
        <f t="shared" si="184"/>
        <v>-1.5570389111185683E-2</v>
      </c>
      <c r="AA932" s="31" t="str">
        <f t="shared" si="185"/>
        <v/>
      </c>
    </row>
    <row r="933" spans="1:27" x14ac:dyDescent="0.25">
      <c r="A933" s="6" t="str">
        <f t="shared" si="179"/>
        <v>fragment</v>
      </c>
      <c r="B933" s="6" t="s">
        <v>767</v>
      </c>
      <c r="C933" s="6" t="str">
        <f t="shared" si="180"/>
        <v>HC64 571</v>
      </c>
      <c r="D933" s="6" t="s">
        <v>855</v>
      </c>
      <c r="E933" s="20">
        <v>571</v>
      </c>
      <c r="F933" s="6" t="s">
        <v>545</v>
      </c>
      <c r="G933" s="6" t="s">
        <v>859</v>
      </c>
      <c r="H933" s="6" t="s">
        <v>977</v>
      </c>
      <c r="I933" s="6" t="s">
        <v>5</v>
      </c>
      <c r="J933" s="29"/>
      <c r="K933" s="8" t="str">
        <f t="shared" si="181"/>
        <v/>
      </c>
      <c r="L933" s="8" t="str">
        <f t="shared" si="182"/>
        <v/>
      </c>
      <c r="M933" s="8"/>
      <c r="N933" s="8"/>
      <c r="O933" s="8">
        <v>2.9590000000000001</v>
      </c>
      <c r="P933" s="8">
        <f>1.649+2.054</f>
        <v>3.7029999999999998</v>
      </c>
      <c r="Q933" s="8"/>
      <c r="R933" s="8"/>
      <c r="S933" s="8">
        <v>6.1870000000000003</v>
      </c>
      <c r="T933" s="8">
        <f>1.053+2.678+2.727+1.212</f>
        <v>7.67</v>
      </c>
      <c r="U933" s="8"/>
      <c r="V933" s="8">
        <f t="shared" si="189"/>
        <v>1.2514362960459613</v>
      </c>
      <c r="W933" s="8"/>
      <c r="X933" s="8">
        <f t="shared" si="190"/>
        <v>1.2396961370615807</v>
      </c>
      <c r="Y933" s="31">
        <f t="shared" si="183"/>
        <v>-9.5366820366704297E-2</v>
      </c>
      <c r="Z933" s="31">
        <f t="shared" si="184"/>
        <v>-9.5366820366704297E-2</v>
      </c>
      <c r="AA933" s="31" t="str">
        <f t="shared" si="185"/>
        <v/>
      </c>
    </row>
    <row r="934" spans="1:27" x14ac:dyDescent="0.25">
      <c r="A934" s="6" t="str">
        <f t="shared" si="179"/>
        <v>fragment</v>
      </c>
      <c r="B934" s="6" t="s">
        <v>767</v>
      </c>
      <c r="C934" s="6" t="str">
        <f t="shared" si="180"/>
        <v>HC64 571</v>
      </c>
      <c r="D934" s="6" t="s">
        <v>855</v>
      </c>
      <c r="E934" s="20">
        <v>571</v>
      </c>
      <c r="F934" s="6" t="s">
        <v>545</v>
      </c>
      <c r="G934" s="6" t="s">
        <v>860</v>
      </c>
      <c r="H934" s="6" t="s">
        <v>977</v>
      </c>
      <c r="I934" s="6" t="s">
        <v>5</v>
      </c>
      <c r="J934" s="29"/>
      <c r="K934" s="8" t="str">
        <f t="shared" si="181"/>
        <v/>
      </c>
      <c r="L934" s="8" t="str">
        <f t="shared" si="182"/>
        <v/>
      </c>
      <c r="M934" s="8"/>
      <c r="N934" s="8"/>
      <c r="O934" s="8">
        <v>2.0329999999999999</v>
      </c>
      <c r="P934" s="8">
        <f>0.632+0.998+1.021+0.785</f>
        <v>3.4359999999999999</v>
      </c>
      <c r="Q934" s="8"/>
      <c r="R934" s="8"/>
      <c r="S934" s="8">
        <v>4.4829999999999997</v>
      </c>
      <c r="T934" s="8">
        <f>1.81+3.225+0.416+1.208</f>
        <v>6.6590000000000007</v>
      </c>
      <c r="U934" s="8"/>
      <c r="V934" s="8">
        <f t="shared" si="189"/>
        <v>1.690113133300541</v>
      </c>
      <c r="W934" s="8"/>
      <c r="X934" s="8">
        <f t="shared" si="190"/>
        <v>1.4853892482712472</v>
      </c>
      <c r="Y934" s="31">
        <f t="shared" si="183"/>
        <v>-0.20078244712457383</v>
      </c>
      <c r="Z934" s="31">
        <f t="shared" si="184"/>
        <v>-0.20078244712457383</v>
      </c>
      <c r="AA934" s="31" t="str">
        <f t="shared" si="185"/>
        <v/>
      </c>
    </row>
    <row r="935" spans="1:27" x14ac:dyDescent="0.25">
      <c r="A935" s="6" t="str">
        <f t="shared" si="179"/>
        <v>fragment</v>
      </c>
      <c r="B935" s="6" t="s">
        <v>767</v>
      </c>
      <c r="C935" s="6" t="str">
        <f t="shared" si="180"/>
        <v>HC64 571</v>
      </c>
      <c r="D935" s="6" t="s">
        <v>855</v>
      </c>
      <c r="E935" s="20">
        <v>571</v>
      </c>
      <c r="F935" s="6" t="s">
        <v>545</v>
      </c>
      <c r="G935" s="6" t="s">
        <v>861</v>
      </c>
      <c r="H935" s="6" t="s">
        <v>977</v>
      </c>
      <c r="I935" s="6" t="s">
        <v>5</v>
      </c>
      <c r="J935" s="29"/>
      <c r="K935" s="8" t="str">
        <f t="shared" si="181"/>
        <v/>
      </c>
      <c r="L935" s="8" t="str">
        <f t="shared" si="182"/>
        <v/>
      </c>
      <c r="M935" s="8"/>
      <c r="N935" s="8"/>
      <c r="O935" s="8">
        <v>3.0640000000000001</v>
      </c>
      <c r="P935" s="8">
        <f>0.71+1.848+0.581</f>
        <v>3.1389999999999998</v>
      </c>
      <c r="Q935" s="8"/>
      <c r="R935" s="8"/>
      <c r="S935" s="8"/>
      <c r="T935" s="8"/>
      <c r="U935" s="8"/>
      <c r="V935" s="8">
        <f t="shared" si="189"/>
        <v>1.0244778067885116</v>
      </c>
      <c r="W935" s="8"/>
      <c r="X935" s="8"/>
      <c r="Y935" s="31">
        <f t="shared" si="183"/>
        <v>-1.0502554739476037E-2</v>
      </c>
      <c r="Z935" s="31">
        <f t="shared" si="184"/>
        <v>-1.0502554739476037E-2</v>
      </c>
      <c r="AA935" s="31" t="str">
        <f t="shared" si="185"/>
        <v/>
      </c>
    </row>
    <row r="936" spans="1:27" x14ac:dyDescent="0.25">
      <c r="A936" s="6" t="str">
        <f t="shared" si="179"/>
        <v>fragment</v>
      </c>
      <c r="B936" s="6" t="s">
        <v>767</v>
      </c>
      <c r="C936" s="6" t="str">
        <f t="shared" si="180"/>
        <v>HC64 571</v>
      </c>
      <c r="D936" s="6" t="s">
        <v>855</v>
      </c>
      <c r="E936" s="20">
        <v>571</v>
      </c>
      <c r="F936" s="6" t="s">
        <v>545</v>
      </c>
      <c r="G936" s="6" t="s">
        <v>862</v>
      </c>
      <c r="H936" s="6" t="s">
        <v>977</v>
      </c>
      <c r="I936" s="6" t="s">
        <v>5</v>
      </c>
      <c r="J936" s="29"/>
      <c r="K936" s="8" t="str">
        <f t="shared" si="181"/>
        <v/>
      </c>
      <c r="L936" s="8" t="str">
        <f t="shared" si="182"/>
        <v/>
      </c>
      <c r="M936" s="8"/>
      <c r="N936" s="8"/>
      <c r="O936" s="8">
        <v>2.0310000000000001</v>
      </c>
      <c r="P936" s="8">
        <f>0.715+1.768+0.931</f>
        <v>3.4140000000000001</v>
      </c>
      <c r="Q936" s="8"/>
      <c r="R936" s="8"/>
      <c r="S936" s="8"/>
      <c r="T936" s="8"/>
      <c r="U936" s="8"/>
      <c r="V936" s="8">
        <f t="shared" si="189"/>
        <v>1.6809453471196454</v>
      </c>
      <c r="W936" s="8"/>
      <c r="X936" s="8"/>
      <c r="Y936" s="31">
        <f t="shared" si="183"/>
        <v>-0.22555359337390798</v>
      </c>
      <c r="Z936" s="31">
        <f t="shared" si="184"/>
        <v>-0.22555359337390798</v>
      </c>
      <c r="AA936" s="31" t="str">
        <f t="shared" si="185"/>
        <v/>
      </c>
    </row>
    <row r="937" spans="1:27" x14ac:dyDescent="0.25">
      <c r="A937" s="6" t="str">
        <f t="shared" si="179"/>
        <v>fragment</v>
      </c>
      <c r="B937" s="6" t="s">
        <v>767</v>
      </c>
      <c r="C937" s="6" t="str">
        <f t="shared" si="180"/>
        <v>HC64 571</v>
      </c>
      <c r="D937" s="6" t="s">
        <v>855</v>
      </c>
      <c r="E937" s="20">
        <v>571</v>
      </c>
      <c r="F937" s="6" t="s">
        <v>545</v>
      </c>
      <c r="G937" s="6" t="s">
        <v>863</v>
      </c>
      <c r="H937" s="6" t="s">
        <v>977</v>
      </c>
      <c r="I937" s="6" t="s">
        <v>5</v>
      </c>
      <c r="J937" s="29"/>
      <c r="K937" s="8" t="str">
        <f t="shared" si="181"/>
        <v/>
      </c>
      <c r="L937" s="8" t="str">
        <f t="shared" si="182"/>
        <v/>
      </c>
      <c r="M937" s="8">
        <v>0.74</v>
      </c>
      <c r="N937" s="8">
        <f>0.534+0.595+0.521</f>
        <v>1.65</v>
      </c>
      <c r="O937" s="8">
        <v>2.7690000000000001</v>
      </c>
      <c r="P937" s="8">
        <f>0.729+2.219+1.204+1.243</f>
        <v>5.3950000000000005</v>
      </c>
      <c r="Q937" s="8"/>
      <c r="R937" s="8"/>
      <c r="S937" s="8">
        <v>4.415</v>
      </c>
      <c r="T937" s="8">
        <f>1.116+2.357+2.14+1.149</f>
        <v>6.7620000000000005</v>
      </c>
      <c r="U937" s="8">
        <f>N937/M937</f>
        <v>2.2297297297297298</v>
      </c>
      <c r="V937" s="8">
        <f t="shared" si="189"/>
        <v>1.9483568075117372</v>
      </c>
      <c r="W937" s="8"/>
      <c r="X937" s="8">
        <f>T937/S937</f>
        <v>1.5315968289920725</v>
      </c>
      <c r="Y937" s="31">
        <f t="shared" si="183"/>
        <v>-0.27949077014432938</v>
      </c>
      <c r="Z937" s="31">
        <f t="shared" si="184"/>
        <v>-0.27949077014432938</v>
      </c>
      <c r="AA937" s="31" t="str">
        <f t="shared" si="185"/>
        <v/>
      </c>
    </row>
    <row r="938" spans="1:27" x14ac:dyDescent="0.25">
      <c r="A938" s="6" t="str">
        <f t="shared" si="179"/>
        <v>fragment</v>
      </c>
      <c r="B938" s="6" t="s">
        <v>767</v>
      </c>
      <c r="C938" s="6" t="str">
        <f t="shared" si="180"/>
        <v>HC64 571</v>
      </c>
      <c r="D938" s="6" t="s">
        <v>855</v>
      </c>
      <c r="E938" s="20">
        <v>571</v>
      </c>
      <c r="F938" s="6" t="s">
        <v>545</v>
      </c>
      <c r="G938" s="6" t="s">
        <v>864</v>
      </c>
      <c r="H938" s="6" t="s">
        <v>977</v>
      </c>
      <c r="I938" s="6" t="s">
        <v>5</v>
      </c>
      <c r="J938" s="29"/>
      <c r="K938" s="8" t="str">
        <f t="shared" si="181"/>
        <v/>
      </c>
      <c r="L938" s="8" t="str">
        <f t="shared" si="182"/>
        <v/>
      </c>
      <c r="M938" s="8"/>
      <c r="N938" s="8"/>
      <c r="O938" s="8">
        <v>2.8740000000000001</v>
      </c>
      <c r="P938" s="8">
        <f>1.521+2.3</f>
        <v>3.8209999999999997</v>
      </c>
      <c r="Q938" s="8"/>
      <c r="R938" s="8"/>
      <c r="S938" s="8">
        <v>6.2279999999999998</v>
      </c>
      <c r="T938" s="8">
        <f>1.223+2.987+2.776+1.192</f>
        <v>8.177999999999999</v>
      </c>
      <c r="U938" s="8"/>
      <c r="V938" s="8">
        <f t="shared" si="189"/>
        <v>1.3295059151009045</v>
      </c>
      <c r="W938" s="8"/>
      <c r="X938" s="8">
        <f>T938/S938</f>
        <v>1.3131021194605008</v>
      </c>
      <c r="Y938" s="31">
        <f t="shared" si="183"/>
        <v>-0.12100275541663594</v>
      </c>
      <c r="Z938" s="31">
        <f t="shared" si="184"/>
        <v>-0.12100275541663594</v>
      </c>
      <c r="AA938" s="31" t="str">
        <f t="shared" si="185"/>
        <v/>
      </c>
    </row>
    <row r="939" spans="1:27" x14ac:dyDescent="0.25">
      <c r="A939" s="6" t="str">
        <f t="shared" si="179"/>
        <v>fragment</v>
      </c>
      <c r="B939" s="6" t="s">
        <v>767</v>
      </c>
      <c r="C939" s="6" t="str">
        <f t="shared" si="180"/>
        <v>HC64 571</v>
      </c>
      <c r="D939" s="6" t="s">
        <v>855</v>
      </c>
      <c r="E939" s="20">
        <v>571</v>
      </c>
      <c r="F939" s="6" t="s">
        <v>545</v>
      </c>
      <c r="G939" s="6" t="s">
        <v>865</v>
      </c>
      <c r="H939" s="6" t="s">
        <v>977</v>
      </c>
      <c r="I939" s="6" t="s">
        <v>5</v>
      </c>
      <c r="J939" s="29"/>
      <c r="K939" s="8" t="str">
        <f t="shared" si="181"/>
        <v/>
      </c>
      <c r="L939" s="8" t="str">
        <f t="shared" si="182"/>
        <v/>
      </c>
      <c r="M939" s="8"/>
      <c r="N939" s="8"/>
      <c r="O939" s="8">
        <v>1.7190000000000001</v>
      </c>
      <c r="P939" s="8">
        <f>0.785+1.116+0.727</f>
        <v>2.6280000000000001</v>
      </c>
      <c r="Q939" s="8"/>
      <c r="R939" s="8"/>
      <c r="S939" s="8">
        <v>4.5629999999999997</v>
      </c>
      <c r="T939" s="8">
        <f>0.503+1.944+2.175+2.098+1.133</f>
        <v>7.8529999999999998</v>
      </c>
      <c r="U939" s="8"/>
      <c r="V939" s="8">
        <f t="shared" si="189"/>
        <v>1.5287958115183247</v>
      </c>
      <c r="W939" s="8"/>
      <c r="X939" s="8">
        <f>T939/S939</f>
        <v>1.7210168748630288</v>
      </c>
      <c r="Y939" s="31">
        <f t="shared" si="183"/>
        <v>-0.21082833404863638</v>
      </c>
      <c r="Z939" s="31">
        <f t="shared" si="184"/>
        <v>-0.21082833404863638</v>
      </c>
      <c r="AA939" s="31" t="str">
        <f t="shared" si="185"/>
        <v/>
      </c>
    </row>
    <row r="940" spans="1:27" x14ac:dyDescent="0.25">
      <c r="A940" s="6" t="str">
        <f t="shared" si="179"/>
        <v>complete</v>
      </c>
      <c r="B940" s="6" t="s">
        <v>767</v>
      </c>
      <c r="C940" s="6" t="str">
        <f t="shared" si="180"/>
        <v>HC64 572</v>
      </c>
      <c r="D940" s="22" t="s">
        <v>855</v>
      </c>
      <c r="E940" s="22">
        <v>572</v>
      </c>
      <c r="F940" s="22"/>
      <c r="G940" s="22" t="s">
        <v>1096</v>
      </c>
      <c r="H940" s="22" t="s">
        <v>977</v>
      </c>
      <c r="I940" s="6" t="s">
        <v>5</v>
      </c>
      <c r="J940" s="30">
        <f>12.401*2</f>
        <v>24.802</v>
      </c>
      <c r="K940" s="8">
        <f t="shared" si="181"/>
        <v>1.3944867031625849</v>
      </c>
      <c r="L940" s="8">
        <f t="shared" si="182"/>
        <v>7.8160944810686717</v>
      </c>
      <c r="M940" s="23"/>
      <c r="N940" s="23"/>
      <c r="O940" s="23">
        <v>1.4339999999999999</v>
      </c>
      <c r="P940" s="23">
        <f>0.645+0.985+0.529</f>
        <v>2.1589999999999998</v>
      </c>
      <c r="Q940" s="23">
        <v>2.1819999999999999</v>
      </c>
      <c r="R940" s="23">
        <f>0.699+1.546+1.289</f>
        <v>3.5339999999999998</v>
      </c>
      <c r="S940" s="8"/>
      <c r="T940" s="8"/>
      <c r="U940" s="8"/>
      <c r="V940" s="8">
        <v>1.5055788005578801</v>
      </c>
      <c r="W940" s="8">
        <v>1.6196150320806599</v>
      </c>
      <c r="X940" s="8"/>
      <c r="Y940" s="31">
        <f t="shared" si="183"/>
        <v>-0.19384696292322695</v>
      </c>
      <c r="Z940" s="31" t="str">
        <f t="shared" si="184"/>
        <v/>
      </c>
      <c r="AA940" s="31">
        <f t="shared" si="185"/>
        <v>-0.19384696292322695</v>
      </c>
    </row>
    <row r="941" spans="1:27" x14ac:dyDescent="0.25">
      <c r="A941" s="6" t="str">
        <f t="shared" si="179"/>
        <v>fragment</v>
      </c>
      <c r="B941" s="6" t="s">
        <v>767</v>
      </c>
      <c r="C941" s="6" t="str">
        <f t="shared" si="180"/>
        <v>HC64 572</v>
      </c>
      <c r="D941" s="22" t="s">
        <v>855</v>
      </c>
      <c r="E941" s="22">
        <v>572</v>
      </c>
      <c r="F941" s="22"/>
      <c r="G941" s="22" t="s">
        <v>1097</v>
      </c>
      <c r="H941" s="22" t="s">
        <v>977</v>
      </c>
      <c r="I941" s="6" t="s">
        <v>5</v>
      </c>
      <c r="J941" s="30"/>
      <c r="K941" s="8" t="str">
        <f t="shared" si="181"/>
        <v/>
      </c>
      <c r="L941" s="8" t="str">
        <f t="shared" si="182"/>
        <v/>
      </c>
      <c r="M941" s="23"/>
      <c r="N941" s="23"/>
      <c r="O941" s="23">
        <v>0.625</v>
      </c>
      <c r="P941" s="23">
        <f>0.887+0.374</f>
        <v>1.2610000000000001</v>
      </c>
      <c r="Q941" s="23">
        <v>1.536</v>
      </c>
      <c r="R941" s="23">
        <f>0.881+1.056</f>
        <v>1.9370000000000001</v>
      </c>
      <c r="S941" s="8"/>
      <c r="T941" s="8"/>
      <c r="U941" s="8"/>
      <c r="V941" s="8">
        <v>2.0176000000000003</v>
      </c>
      <c r="W941" s="8">
        <v>1.2610677083333333</v>
      </c>
      <c r="X941" s="8"/>
      <c r="Y941" s="31">
        <f t="shared" si="183"/>
        <v>-0.21466740766290998</v>
      </c>
      <c r="Z941" s="31">
        <f t="shared" si="184"/>
        <v>-0.21466740766290998</v>
      </c>
      <c r="AA941" s="31" t="str">
        <f t="shared" si="185"/>
        <v/>
      </c>
    </row>
    <row r="942" spans="1:27" x14ac:dyDescent="0.25">
      <c r="A942" s="6" t="str">
        <f t="shared" si="179"/>
        <v>complete</v>
      </c>
      <c r="B942" s="6" t="s">
        <v>767</v>
      </c>
      <c r="C942" s="6" t="str">
        <f t="shared" si="180"/>
        <v>HC64 572</v>
      </c>
      <c r="D942" s="22" t="s">
        <v>855</v>
      </c>
      <c r="E942" s="22">
        <v>572</v>
      </c>
      <c r="F942" s="22"/>
      <c r="G942" s="22" t="s">
        <v>1098</v>
      </c>
      <c r="H942" s="22" t="s">
        <v>977</v>
      </c>
      <c r="I942" s="6" t="s">
        <v>5</v>
      </c>
      <c r="J942" s="30">
        <v>23.225999999999999</v>
      </c>
      <c r="K942" s="8">
        <f t="shared" si="181"/>
        <v>1.3659744217025986</v>
      </c>
      <c r="L942" s="8">
        <f t="shared" si="182"/>
        <v>7.750442526811657</v>
      </c>
      <c r="M942" s="23">
        <v>1.0640000000000001</v>
      </c>
      <c r="N942" s="23">
        <f>0.375+1.569+0.55</f>
        <v>2.4939999999999998</v>
      </c>
      <c r="O942" s="23">
        <v>1.337</v>
      </c>
      <c r="P942" s="23">
        <f>1.141+0.628</f>
        <v>1.7690000000000001</v>
      </c>
      <c r="Q942" s="23">
        <v>2.5510000000000002</v>
      </c>
      <c r="R942" s="23">
        <f>0.511+1.625+1.626+0.459</f>
        <v>4.2210000000000001</v>
      </c>
      <c r="S942" s="8"/>
      <c r="T942" s="8"/>
      <c r="U942" s="8">
        <v>2.3439849624060147</v>
      </c>
      <c r="V942" s="8">
        <v>1.3231114435302918</v>
      </c>
      <c r="W942" s="8">
        <v>1.6546452371618972</v>
      </c>
      <c r="X942" s="8"/>
      <c r="Y942" s="31">
        <f t="shared" si="183"/>
        <v>-0.24893253212472838</v>
      </c>
      <c r="Z942" s="31" t="str">
        <f t="shared" si="184"/>
        <v/>
      </c>
      <c r="AA942" s="31">
        <f t="shared" si="185"/>
        <v>-0.24893253212472838</v>
      </c>
    </row>
    <row r="943" spans="1:27" x14ac:dyDescent="0.25">
      <c r="A943" s="6" t="str">
        <f t="shared" si="179"/>
        <v>fragment</v>
      </c>
      <c r="B943" s="6" t="s">
        <v>767</v>
      </c>
      <c r="C943" s="6" t="str">
        <f t="shared" si="180"/>
        <v>HC64 572</v>
      </c>
      <c r="D943" s="22" t="s">
        <v>855</v>
      </c>
      <c r="E943" s="22">
        <v>572</v>
      </c>
      <c r="F943" s="22"/>
      <c r="G943" s="22" t="s">
        <v>1099</v>
      </c>
      <c r="H943" s="22" t="s">
        <v>977</v>
      </c>
      <c r="I943" s="6" t="s">
        <v>5</v>
      </c>
      <c r="J943" s="30"/>
      <c r="K943" s="8" t="str">
        <f t="shared" si="181"/>
        <v/>
      </c>
      <c r="L943" s="8" t="str">
        <f t="shared" si="182"/>
        <v/>
      </c>
      <c r="M943" s="23"/>
      <c r="N943" s="23"/>
      <c r="O943" s="23">
        <v>2.956</v>
      </c>
      <c r="P943" s="23">
        <f>1+2.625+0.852</f>
        <v>4.4770000000000003</v>
      </c>
      <c r="Q943" s="23">
        <v>2.3650000000000002</v>
      </c>
      <c r="R943" s="23">
        <f>1.39+1.643+0.392</f>
        <v>3.4249999999999998</v>
      </c>
      <c r="S943" s="8"/>
      <c r="T943" s="8"/>
      <c r="U943" s="8"/>
      <c r="V943" s="8">
        <v>1.5145466847090665</v>
      </c>
      <c r="W943" s="8">
        <v>1.4482029598308666</v>
      </c>
      <c r="X943" s="8"/>
      <c r="Y943" s="31">
        <f t="shared" si="183"/>
        <v>-0.17066495902615869</v>
      </c>
      <c r="Z943" s="31">
        <f t="shared" si="184"/>
        <v>-0.17066495902615869</v>
      </c>
      <c r="AA943" s="31" t="str">
        <f t="shared" si="185"/>
        <v/>
      </c>
    </row>
    <row r="944" spans="1:27" x14ac:dyDescent="0.25">
      <c r="A944" s="6" t="str">
        <f t="shared" si="179"/>
        <v>fragment</v>
      </c>
      <c r="B944" s="6" t="s">
        <v>767</v>
      </c>
      <c r="C944" s="6" t="str">
        <f t="shared" si="180"/>
        <v>HC64 572</v>
      </c>
      <c r="D944" s="22" t="s">
        <v>855</v>
      </c>
      <c r="E944" s="22">
        <v>572</v>
      </c>
      <c r="F944" s="22"/>
      <c r="G944" s="22" t="s">
        <v>1100</v>
      </c>
      <c r="H944" s="22" t="s">
        <v>977</v>
      </c>
      <c r="I944" s="6" t="s">
        <v>5</v>
      </c>
      <c r="J944" s="30"/>
      <c r="K944" s="8" t="str">
        <f t="shared" si="181"/>
        <v/>
      </c>
      <c r="L944" s="8" t="str">
        <f t="shared" si="182"/>
        <v/>
      </c>
      <c r="M944" s="23"/>
      <c r="N944" s="23"/>
      <c r="O944" s="23">
        <v>1.177</v>
      </c>
      <c r="P944" s="23">
        <f>0.56+0.951</f>
        <v>1.5110000000000001</v>
      </c>
      <c r="Q944" s="23">
        <v>0.66700000000000004</v>
      </c>
      <c r="R944" s="23">
        <f>0.537+0.809</f>
        <v>1.3460000000000001</v>
      </c>
      <c r="S944" s="8"/>
      <c r="T944" s="8"/>
      <c r="U944" s="8"/>
      <c r="V944" s="8">
        <v>1.2837723024638914</v>
      </c>
      <c r="W944" s="8">
        <v>2.0179910044977509</v>
      </c>
      <c r="X944" s="8"/>
      <c r="Y944" s="31">
        <f t="shared" si="183"/>
        <v>-0.21771594117167239</v>
      </c>
      <c r="Z944" s="31">
        <f t="shared" si="184"/>
        <v>-0.21771594117167239</v>
      </c>
      <c r="AA944" s="31" t="str">
        <f t="shared" si="185"/>
        <v/>
      </c>
    </row>
    <row r="945" spans="1:27" x14ac:dyDescent="0.25">
      <c r="A945" s="6" t="str">
        <f t="shared" si="179"/>
        <v>complete</v>
      </c>
      <c r="B945" s="6" t="s">
        <v>767</v>
      </c>
      <c r="C945" s="6" t="str">
        <f t="shared" si="180"/>
        <v>HC64 87101</v>
      </c>
      <c r="D945" s="6" t="s">
        <v>855</v>
      </c>
      <c r="E945" s="20">
        <v>87101</v>
      </c>
      <c r="G945" s="6" t="s">
        <v>792</v>
      </c>
      <c r="I945" s="8" t="s">
        <v>5</v>
      </c>
      <c r="J945" s="29">
        <v>44.106920000000002</v>
      </c>
      <c r="K945" s="8">
        <f t="shared" si="181"/>
        <v>1.6445067319179079</v>
      </c>
      <c r="L945" s="8">
        <f t="shared" si="182"/>
        <v>8.3917868722306217</v>
      </c>
      <c r="M945" s="8"/>
      <c r="N945" s="8"/>
      <c r="O945" s="8">
        <v>3.2</v>
      </c>
      <c r="P945" s="8">
        <f>1.277+1.578+1.468+0.713</f>
        <v>5.0360000000000005</v>
      </c>
      <c r="Q945" s="8"/>
      <c r="R945" s="8"/>
      <c r="S945" s="8">
        <v>9.8949999999999996</v>
      </c>
      <c r="T945" s="8">
        <f>1.499+4.139+4.518+1.853</f>
        <v>12.008999999999999</v>
      </c>
      <c r="U945" s="8"/>
      <c r="V945" s="8">
        <f>P945/O945</f>
        <v>1.57375</v>
      </c>
      <c r="W945" s="8"/>
      <c r="X945" s="8">
        <f>T945/S945</f>
        <v>1.2136432541687721</v>
      </c>
      <c r="Y945" s="31">
        <f t="shared" si="183"/>
        <v>-0.14416824899738739</v>
      </c>
      <c r="Z945" s="31" t="str">
        <f t="shared" si="184"/>
        <v/>
      </c>
      <c r="AA945" s="31">
        <f t="shared" si="185"/>
        <v>-0.14416824899738739</v>
      </c>
    </row>
    <row r="946" spans="1:27" x14ac:dyDescent="0.25">
      <c r="A946" s="6" t="str">
        <f t="shared" si="179"/>
        <v>fragment</v>
      </c>
      <c r="B946" s="6" t="s">
        <v>767</v>
      </c>
      <c r="C946" s="6" t="str">
        <f t="shared" si="180"/>
        <v>HC64 87107</v>
      </c>
      <c r="D946" s="22" t="s">
        <v>855</v>
      </c>
      <c r="E946" s="20">
        <v>87107</v>
      </c>
      <c r="F946" s="22"/>
      <c r="G946" s="22" t="s">
        <v>1095</v>
      </c>
      <c r="H946" s="22"/>
      <c r="I946" s="6" t="s">
        <v>5</v>
      </c>
      <c r="J946" s="30"/>
      <c r="K946" s="8" t="str">
        <f t="shared" si="181"/>
        <v/>
      </c>
      <c r="L946" s="8" t="str">
        <f t="shared" si="182"/>
        <v/>
      </c>
      <c r="M946" s="23"/>
      <c r="N946" s="23"/>
      <c r="O946" s="23">
        <v>1.66</v>
      </c>
      <c r="P946" s="23">
        <f>0.287+1.082+0.697</f>
        <v>2.0659999999999998</v>
      </c>
      <c r="Q946" s="23">
        <v>3.4580000000000002</v>
      </c>
      <c r="R946" s="23">
        <f>1.069+0.225+2.739+1.113</f>
        <v>5.145999999999999</v>
      </c>
      <c r="S946" s="8"/>
      <c r="T946" s="8"/>
      <c r="U946" s="8"/>
      <c r="V946" s="8">
        <v>1.2445783132530119</v>
      </c>
      <c r="W946" s="8">
        <v>1.4881434355118561</v>
      </c>
      <c r="X946" s="8"/>
      <c r="Y946" s="31">
        <f t="shared" si="183"/>
        <v>-0.13556541754056042</v>
      </c>
      <c r="Z946" s="31">
        <f t="shared" si="184"/>
        <v>-0.13556541754056042</v>
      </c>
      <c r="AA946" s="31" t="str">
        <f t="shared" si="185"/>
        <v/>
      </c>
    </row>
    <row r="947" spans="1:27" x14ac:dyDescent="0.25">
      <c r="A947" s="6" t="str">
        <f t="shared" si="179"/>
        <v>complete</v>
      </c>
      <c r="B947" s="6" t="s">
        <v>767</v>
      </c>
      <c r="C947" s="6" t="str">
        <f t="shared" si="180"/>
        <v>HC64 897</v>
      </c>
      <c r="D947" s="6" t="s">
        <v>855</v>
      </c>
      <c r="E947" s="20">
        <v>897</v>
      </c>
      <c r="G947" s="6" t="s">
        <v>781</v>
      </c>
      <c r="H947" s="6" t="s">
        <v>977</v>
      </c>
      <c r="I947" s="8" t="s">
        <v>5</v>
      </c>
      <c r="J947" s="29">
        <v>16.242000000000001</v>
      </c>
      <c r="K947" s="8">
        <f t="shared" si="181"/>
        <v>1.2106395061541502</v>
      </c>
      <c r="L947" s="8">
        <f t="shared" si="182"/>
        <v>7.3927706658483103</v>
      </c>
      <c r="M947" s="8"/>
      <c r="N947" s="8"/>
      <c r="O947" s="8">
        <v>2.3079999999999998</v>
      </c>
      <c r="P947" s="8">
        <f>0.818+1.366+1.274</f>
        <v>3.4580000000000002</v>
      </c>
      <c r="Q947" s="8"/>
      <c r="R947" s="8"/>
      <c r="S947" s="8">
        <v>2.4980000000000002</v>
      </c>
      <c r="T947" s="8">
        <f>0.896+1.461+1.208+0.601</f>
        <v>4.1660000000000004</v>
      </c>
      <c r="U947" s="8"/>
      <c r="V947" s="8">
        <f t="shared" ref="V947:V956" si="191">P947/O947</f>
        <v>1.4982668977469673</v>
      </c>
      <c r="W947" s="8"/>
      <c r="X947" s="8">
        <f>T947/S947</f>
        <v>1.6677341873498799</v>
      </c>
      <c r="Y947" s="31">
        <f t="shared" si="183"/>
        <v>-0.199481063709953</v>
      </c>
      <c r="Z947" s="31" t="str">
        <f t="shared" si="184"/>
        <v/>
      </c>
      <c r="AA947" s="31">
        <f t="shared" si="185"/>
        <v>-0.199481063709953</v>
      </c>
    </row>
    <row r="948" spans="1:27" x14ac:dyDescent="0.25">
      <c r="A948" s="6" t="str">
        <f t="shared" si="179"/>
        <v>complete</v>
      </c>
      <c r="C948" s="6" t="str">
        <f t="shared" si="180"/>
        <v>HC65 1489</v>
      </c>
      <c r="D948" s="6" t="s">
        <v>866</v>
      </c>
      <c r="E948" s="20">
        <v>1489</v>
      </c>
      <c r="F948" s="6" t="s">
        <v>90</v>
      </c>
      <c r="G948" s="6" t="s">
        <v>868</v>
      </c>
      <c r="H948" s="6" t="s">
        <v>977</v>
      </c>
      <c r="I948" s="6" t="s">
        <v>20</v>
      </c>
      <c r="J948" s="29">
        <v>20.207999999999998</v>
      </c>
      <c r="K948" s="8">
        <f t="shared" si="181"/>
        <v>1.3055233332112555</v>
      </c>
      <c r="L948" s="8">
        <f t="shared" si="182"/>
        <v>7.6112487515962268</v>
      </c>
      <c r="M948" s="8"/>
      <c r="N948" s="8"/>
      <c r="O948" s="8">
        <v>3.4980000000000002</v>
      </c>
      <c r="P948" s="8">
        <f>0.627+2.141+2.305+1.082</f>
        <v>6.1550000000000002</v>
      </c>
      <c r="Q948" s="8"/>
      <c r="R948" s="8"/>
      <c r="S948" s="8">
        <v>4.7699999999999996</v>
      </c>
      <c r="T948" s="8">
        <f>0.859+2.468+2.339+0.724</f>
        <v>6.3900000000000006</v>
      </c>
      <c r="U948" s="8"/>
      <c r="V948" s="8">
        <f t="shared" si="191"/>
        <v>1.7595769010863349</v>
      </c>
      <c r="W948" s="8"/>
      <c r="X948" s="8">
        <f>T948/S948</f>
        <v>1.3396226415094341</v>
      </c>
      <c r="Y948" s="31">
        <f t="shared" si="183"/>
        <v>-0.1902195436144655</v>
      </c>
      <c r="Z948" s="31" t="str">
        <f t="shared" si="184"/>
        <v/>
      </c>
      <c r="AA948" s="31">
        <f t="shared" si="185"/>
        <v>-0.1902195436144655</v>
      </c>
    </row>
    <row r="949" spans="1:27" x14ac:dyDescent="0.25">
      <c r="A949" s="6" t="str">
        <f t="shared" si="179"/>
        <v>complete</v>
      </c>
      <c r="C949" s="6" t="str">
        <f t="shared" si="180"/>
        <v>HC65 1489</v>
      </c>
      <c r="D949" s="6" t="s">
        <v>866</v>
      </c>
      <c r="E949" s="20">
        <v>1489</v>
      </c>
      <c r="F949" s="6" t="s">
        <v>90</v>
      </c>
      <c r="G949" s="6" t="s">
        <v>869</v>
      </c>
      <c r="H949" s="6" t="s">
        <v>977</v>
      </c>
      <c r="I949" s="6" t="s">
        <v>20</v>
      </c>
      <c r="J949" s="29">
        <v>46.762</v>
      </c>
      <c r="K949" s="8">
        <f t="shared" si="181"/>
        <v>1.6698930775622762</v>
      </c>
      <c r="L949" s="8">
        <f t="shared" si="182"/>
        <v>8.4502410932769383</v>
      </c>
      <c r="M949" s="8">
        <v>5.92</v>
      </c>
      <c r="N949" s="8">
        <f>0.871+1.726+2.588+2.196+1.168</f>
        <v>8.5489999999999995</v>
      </c>
      <c r="O949" s="8">
        <v>8.5389999999999997</v>
      </c>
      <c r="P949" s="8">
        <f>1.356+2.738+2.489+2.154+2.349+2.153+0.893</f>
        <v>14.132000000000001</v>
      </c>
      <c r="Q949" s="8"/>
      <c r="R949" s="8"/>
      <c r="S949" s="8"/>
      <c r="T949" s="8"/>
      <c r="U949" s="8">
        <f>N949/M949</f>
        <v>1.4440878378378377</v>
      </c>
      <c r="V949" s="8">
        <f t="shared" si="191"/>
        <v>1.6549947300620684</v>
      </c>
      <c r="W949" s="8"/>
      <c r="X949" s="8"/>
      <c r="Y949" s="31">
        <f t="shared" si="183"/>
        <v>-0.19020315150322048</v>
      </c>
      <c r="Z949" s="31" t="str">
        <f t="shared" si="184"/>
        <v/>
      </c>
      <c r="AA949" s="31">
        <f t="shared" si="185"/>
        <v>-0.19020315150322048</v>
      </c>
    </row>
    <row r="950" spans="1:27" x14ac:dyDescent="0.25">
      <c r="A950" s="6" t="str">
        <f t="shared" si="179"/>
        <v>complete</v>
      </c>
      <c r="C950" s="6" t="str">
        <f t="shared" si="180"/>
        <v>HC65 566</v>
      </c>
      <c r="D950" s="6" t="s">
        <v>866</v>
      </c>
      <c r="E950" s="20">
        <v>566</v>
      </c>
      <c r="G950" s="6" t="s">
        <v>870</v>
      </c>
      <c r="H950" s="6" t="s">
        <v>1194</v>
      </c>
      <c r="I950" s="6" t="s">
        <v>20</v>
      </c>
      <c r="J950" s="29">
        <v>40.985999999999997</v>
      </c>
      <c r="K950" s="8">
        <f t="shared" si="181"/>
        <v>1.6126355357184488</v>
      </c>
      <c r="L950" s="8">
        <f t="shared" si="182"/>
        <v>8.318400730965859</v>
      </c>
      <c r="M950" s="8"/>
      <c r="N950" s="8"/>
      <c r="O950" s="8">
        <v>8.6419999999999995</v>
      </c>
      <c r="P950" s="8">
        <f>0.86+2.396+3.064+2.876+2.059+0.509</f>
        <v>11.763999999999999</v>
      </c>
      <c r="Q950" s="8">
        <v>6.6050000000000004</v>
      </c>
      <c r="R950" s="8">
        <f>1.052+2.436+2.465+0.691+1.988</f>
        <v>8.6319999999999997</v>
      </c>
      <c r="S950" s="8"/>
      <c r="T950" s="8"/>
      <c r="U950" s="8"/>
      <c r="V950" s="8">
        <f t="shared" si="191"/>
        <v>1.3612589678315206</v>
      </c>
      <c r="W950" s="8">
        <f>R950/Q950</f>
        <v>1.3068887206661619</v>
      </c>
      <c r="X950" s="8"/>
      <c r="Y950" s="31">
        <f t="shared" si="183"/>
        <v>-0.1251798695072131</v>
      </c>
      <c r="Z950" s="31" t="str">
        <f t="shared" si="184"/>
        <v/>
      </c>
      <c r="AA950" s="31">
        <f t="shared" si="185"/>
        <v>-0.1251798695072131</v>
      </c>
    </row>
    <row r="951" spans="1:27" x14ac:dyDescent="0.25">
      <c r="A951" s="6" t="str">
        <f t="shared" si="179"/>
        <v>fragment</v>
      </c>
      <c r="C951" s="6" t="str">
        <f t="shared" si="180"/>
        <v>HC65 571</v>
      </c>
      <c r="D951" s="6" t="s">
        <v>866</v>
      </c>
      <c r="E951" s="20">
        <v>571</v>
      </c>
      <c r="F951" s="6" t="s">
        <v>545</v>
      </c>
      <c r="G951" s="6" t="s">
        <v>867</v>
      </c>
      <c r="H951" s="6" t="s">
        <v>977</v>
      </c>
      <c r="I951" s="6" t="s">
        <v>20</v>
      </c>
      <c r="J951" s="29"/>
      <c r="K951" s="8" t="str">
        <f t="shared" si="181"/>
        <v/>
      </c>
      <c r="L951" s="8" t="str">
        <f t="shared" si="182"/>
        <v/>
      </c>
      <c r="M951" s="8">
        <v>1.601</v>
      </c>
      <c r="N951" s="8">
        <f>0.531+1.563+1.128</f>
        <v>3.2219999999999995</v>
      </c>
      <c r="O951" s="8">
        <v>4.2729999999999997</v>
      </c>
      <c r="P951" s="8">
        <f>1.141+1.942+2.229+1.779+0.354</f>
        <v>7.4450000000000003</v>
      </c>
      <c r="Q951" s="8"/>
      <c r="R951" s="8"/>
      <c r="S951" s="8">
        <v>1.6859999999999999</v>
      </c>
      <c r="T951" s="8">
        <f>0.277+1.191+1.214+0.504</f>
        <v>3.1859999999999999</v>
      </c>
      <c r="U951" s="8">
        <f t="shared" ref="U951:U956" si="192">N951/M951</f>
        <v>2.0124921923797623</v>
      </c>
      <c r="V951" s="8">
        <f t="shared" si="191"/>
        <v>1.7423355956002811</v>
      </c>
      <c r="W951" s="8"/>
      <c r="X951" s="8">
        <f>T951/S951</f>
        <v>1.8896797153024911</v>
      </c>
      <c r="Y951" s="31">
        <f t="shared" si="183"/>
        <v>-0.27450479996690008</v>
      </c>
      <c r="Z951" s="31">
        <f t="shared" si="184"/>
        <v>-0.27450479996690008</v>
      </c>
      <c r="AA951" s="31" t="str">
        <f t="shared" si="185"/>
        <v/>
      </c>
    </row>
    <row r="952" spans="1:27" x14ac:dyDescent="0.25">
      <c r="A952" s="6" t="str">
        <f t="shared" si="179"/>
        <v>complete</v>
      </c>
      <c r="B952" s="6" t="s">
        <v>694</v>
      </c>
      <c r="C952" s="6" t="str">
        <f t="shared" si="180"/>
        <v>HC66 2097</v>
      </c>
      <c r="D952" s="6" t="s">
        <v>871</v>
      </c>
      <c r="E952" s="20">
        <v>2097</v>
      </c>
      <c r="F952" s="6" t="s">
        <v>720</v>
      </c>
      <c r="G952" s="6" t="s">
        <v>872</v>
      </c>
      <c r="H952" s="6" t="s">
        <v>977</v>
      </c>
      <c r="I952" s="6" t="s">
        <v>20</v>
      </c>
      <c r="J952" s="29">
        <v>92.787000000000006</v>
      </c>
      <c r="K952" s="8">
        <f t="shared" si="181"/>
        <v>1.9674871332904891</v>
      </c>
      <c r="L952" s="8">
        <f t="shared" si="182"/>
        <v>9.1354767297603612</v>
      </c>
      <c r="M952" s="8">
        <v>5.0519999999999996</v>
      </c>
      <c r="N952" s="8">
        <f>1.276+1.59+1.041+1.918+0.819</f>
        <v>6.6440000000000001</v>
      </c>
      <c r="O952" s="8">
        <v>12.339</v>
      </c>
      <c r="P952" s="8">
        <f>2.02+0.881+3.038+0.709+2.795+3.624</f>
        <v>13.067</v>
      </c>
      <c r="Q952" s="8">
        <v>4.181</v>
      </c>
      <c r="R952" s="8">
        <f>1.298+1.462+1.346</f>
        <v>4.1059999999999999</v>
      </c>
      <c r="S952" s="8"/>
      <c r="T952" s="8"/>
      <c r="U952" s="8">
        <f t="shared" si="192"/>
        <v>1.3151227236737928</v>
      </c>
      <c r="V952" s="8">
        <f t="shared" si="191"/>
        <v>1.0589999189561552</v>
      </c>
      <c r="W952" s="8">
        <f>R952/Q952</f>
        <v>0.98206170772542445</v>
      </c>
      <c r="X952" s="8"/>
      <c r="Y952" s="31">
        <f t="shared" si="183"/>
        <v>-4.872455326035556E-2</v>
      </c>
      <c r="Z952" s="31" t="str">
        <f t="shared" si="184"/>
        <v/>
      </c>
      <c r="AA952" s="31">
        <f t="shared" si="185"/>
        <v>-4.872455326035556E-2</v>
      </c>
    </row>
    <row r="953" spans="1:27" x14ac:dyDescent="0.25">
      <c r="A953" s="6" t="str">
        <f t="shared" si="179"/>
        <v>complete</v>
      </c>
      <c r="B953" s="6" t="s">
        <v>694</v>
      </c>
      <c r="C953" s="6" t="str">
        <f t="shared" si="180"/>
        <v>HC66 568</v>
      </c>
      <c r="D953" s="6" t="s">
        <v>871</v>
      </c>
      <c r="E953" s="20">
        <v>568</v>
      </c>
      <c r="G953" s="6" t="s">
        <v>874</v>
      </c>
      <c r="H953" s="6" t="s">
        <v>979</v>
      </c>
      <c r="I953" s="6" t="s">
        <v>20</v>
      </c>
      <c r="J953" s="29">
        <v>71.52</v>
      </c>
      <c r="K953" s="8">
        <f t="shared" si="181"/>
        <v>1.8544275057878612</v>
      </c>
      <c r="L953" s="8">
        <f t="shared" si="182"/>
        <v>8.8751473168533508</v>
      </c>
      <c r="M953" s="8">
        <v>3.351</v>
      </c>
      <c r="N953" s="8">
        <f>0.879 + 1.623 + 1.495 + 0.448</f>
        <v>4.4450000000000003</v>
      </c>
      <c r="O953" s="8">
        <v>11.462999999999999</v>
      </c>
      <c r="P953" s="8">
        <f>0.985 + 2.453 + 0.15 + 2.422 + 2.523 + 2.542 + 1.291</f>
        <v>12.366</v>
      </c>
      <c r="Q953" s="8">
        <v>4.4400000000000004</v>
      </c>
      <c r="R953" s="8">
        <f>0.905 + 1.561 + 1.797 + 0.776 + 1.499 + 0.825</f>
        <v>7.3630000000000004</v>
      </c>
      <c r="S953" s="8"/>
      <c r="T953" s="8"/>
      <c r="U953" s="8">
        <f t="shared" si="192"/>
        <v>1.326469710534169</v>
      </c>
      <c r="V953" s="8">
        <f t="shared" si="191"/>
        <v>1.0787751897409055</v>
      </c>
      <c r="W953" s="8">
        <f>R953/Q953</f>
        <v>1.6583333333333332</v>
      </c>
      <c r="X953" s="8"/>
      <c r="Y953" s="31">
        <f t="shared" si="183"/>
        <v>-0.13178737065806731</v>
      </c>
      <c r="Z953" s="31" t="str">
        <f t="shared" si="184"/>
        <v/>
      </c>
      <c r="AA953" s="31">
        <f t="shared" si="185"/>
        <v>-0.13178737065806731</v>
      </c>
    </row>
    <row r="954" spans="1:27" x14ac:dyDescent="0.25">
      <c r="A954" s="6" t="str">
        <f t="shared" si="179"/>
        <v>complete</v>
      </c>
      <c r="B954" s="6" t="s">
        <v>694</v>
      </c>
      <c r="C954" s="6" t="str">
        <f t="shared" si="180"/>
        <v>HC66 568</v>
      </c>
      <c r="D954" s="6" t="s">
        <v>871</v>
      </c>
      <c r="E954" s="20">
        <v>568</v>
      </c>
      <c r="G954" s="6" t="s">
        <v>875</v>
      </c>
      <c r="H954" s="6" t="s">
        <v>979</v>
      </c>
      <c r="I954" s="6" t="s">
        <v>20</v>
      </c>
      <c r="J954" s="29">
        <v>46.377000000000002</v>
      </c>
      <c r="K954" s="8">
        <f t="shared" si="181"/>
        <v>1.6663026519003996</v>
      </c>
      <c r="L954" s="8">
        <f t="shared" si="182"/>
        <v>8.4419738326703975</v>
      </c>
      <c r="M954" s="8">
        <v>5.6310000000000002</v>
      </c>
      <c r="N954" s="8">
        <f>0.537+1.542+2.225+2.213+0.737+1.729+0.655</f>
        <v>9.6379999999999999</v>
      </c>
      <c r="O954" s="8">
        <v>11.935</v>
      </c>
      <c r="P954" s="8">
        <f>0.887+2.257+2.473+2.692+2.978+3.208+0.52+2.38+0.923+0.891</f>
        <v>19.208999999999996</v>
      </c>
      <c r="Q954" s="8"/>
      <c r="R954" s="8"/>
      <c r="S954" s="8"/>
      <c r="T954" s="8"/>
      <c r="U954" s="8">
        <f t="shared" si="192"/>
        <v>1.711596519268336</v>
      </c>
      <c r="V954" s="8">
        <f t="shared" si="191"/>
        <v>1.6094679514034349</v>
      </c>
      <c r="W954" s="8"/>
      <c r="X954" s="8"/>
      <c r="Y954" s="31">
        <f t="shared" si="183"/>
        <v>-0.22024731082426338</v>
      </c>
      <c r="Z954" s="31" t="str">
        <f t="shared" si="184"/>
        <v/>
      </c>
      <c r="AA954" s="31">
        <f t="shared" si="185"/>
        <v>-0.22024731082426338</v>
      </c>
    </row>
    <row r="955" spans="1:27" x14ac:dyDescent="0.25">
      <c r="A955" s="6" t="str">
        <f t="shared" si="179"/>
        <v>complete</v>
      </c>
      <c r="B955" s="6" t="s">
        <v>694</v>
      </c>
      <c r="C955" s="6" t="str">
        <f t="shared" si="180"/>
        <v>HC66 568</v>
      </c>
      <c r="D955" s="6" t="s">
        <v>871</v>
      </c>
      <c r="E955" s="20">
        <v>568</v>
      </c>
      <c r="G955" s="6" t="s">
        <v>876</v>
      </c>
      <c r="H955" s="6" t="s">
        <v>979</v>
      </c>
      <c r="I955" s="6" t="s">
        <v>20</v>
      </c>
      <c r="J955" s="29">
        <v>16.768000000000001</v>
      </c>
      <c r="K955" s="8">
        <f t="shared" si="181"/>
        <v>1.2244812653036325</v>
      </c>
      <c r="L955" s="8">
        <f t="shared" si="182"/>
        <v>7.4246424941267231</v>
      </c>
      <c r="M955" s="8">
        <v>1.2549999999999999</v>
      </c>
      <c r="N955" s="8">
        <f>0.646+1.358+0.874</f>
        <v>2.8780000000000001</v>
      </c>
      <c r="O955" s="8">
        <v>2.085</v>
      </c>
      <c r="P955" s="8">
        <f>0.449+1.63+0.618+1.178+1.057+0.287</f>
        <v>5.2189999999999994</v>
      </c>
      <c r="Q955" s="8">
        <v>1.0349999999999999</v>
      </c>
      <c r="R955" s="8">
        <f>0.256+0.77+0.798+0.774+0.332</f>
        <v>2.9299999999999997</v>
      </c>
      <c r="S955" s="8">
        <v>1.9930000000000001</v>
      </c>
      <c r="T955" s="8">
        <f>0.767+1.523+1.413+1.126+0.403</f>
        <v>5.2320000000000011</v>
      </c>
      <c r="U955" s="8">
        <f t="shared" si="192"/>
        <v>2.2932270916334665</v>
      </c>
      <c r="V955" s="8">
        <f t="shared" si="191"/>
        <v>2.5031175059952036</v>
      </c>
      <c r="W955" s="8">
        <f>R955/Q955</f>
        <v>2.8309178743961354</v>
      </c>
      <c r="X955" s="8">
        <f>T955/S955</f>
        <v>2.6251881585549426</v>
      </c>
      <c r="Y955" s="31">
        <f t="shared" si="183"/>
        <v>-0.40876769534471152</v>
      </c>
      <c r="Z955" s="31" t="str">
        <f t="shared" si="184"/>
        <v/>
      </c>
      <c r="AA955" s="31">
        <f t="shared" si="185"/>
        <v>-0.40876769534471152</v>
      </c>
    </row>
    <row r="956" spans="1:27" x14ac:dyDescent="0.25">
      <c r="A956" s="6" t="str">
        <f t="shared" si="179"/>
        <v>complete</v>
      </c>
      <c r="B956" s="6" t="s">
        <v>694</v>
      </c>
      <c r="C956" s="6" t="str">
        <f t="shared" si="180"/>
        <v>HC66 571</v>
      </c>
      <c r="D956" s="6" t="s">
        <v>871</v>
      </c>
      <c r="E956" s="20">
        <v>571</v>
      </c>
      <c r="F956" s="6" t="s">
        <v>545</v>
      </c>
      <c r="G956" s="6" t="s">
        <v>873</v>
      </c>
      <c r="H956" s="6" t="s">
        <v>977</v>
      </c>
      <c r="I956" s="6" t="s">
        <v>20</v>
      </c>
      <c r="J956" s="29">
        <v>240.316</v>
      </c>
      <c r="K956" s="8">
        <f t="shared" si="181"/>
        <v>2.3807826866606883</v>
      </c>
      <c r="L956" s="8">
        <f t="shared" si="182"/>
        <v>10.087124909951307</v>
      </c>
      <c r="M956" s="8">
        <v>23.361999999999998</v>
      </c>
      <c r="N956" s="8">
        <f>2.75+4.508+0.962+3.671+0.393+3.63+3.207+0.898</f>
        <v>20.019000000000002</v>
      </c>
      <c r="O956" s="8">
        <v>32.646000000000001</v>
      </c>
      <c r="P956" s="8">
        <f>0.904+3.861+4.136+4.054+3.777+3.554+3.149+0.622</f>
        <v>24.056999999999999</v>
      </c>
      <c r="Q956" s="8"/>
      <c r="R956" s="8"/>
      <c r="S956" s="8"/>
      <c r="T956" s="8"/>
      <c r="U956" s="8">
        <f t="shared" si="192"/>
        <v>0.85690437462546032</v>
      </c>
      <c r="V956" s="8">
        <f t="shared" si="191"/>
        <v>0.73690498070207677</v>
      </c>
      <c r="W956" s="8"/>
      <c r="X956" s="8"/>
      <c r="Y956" s="31">
        <f t="shared" si="183"/>
        <v>9.8593623949499554E-2</v>
      </c>
      <c r="Z956" s="31" t="str">
        <f t="shared" si="184"/>
        <v/>
      </c>
      <c r="AA956" s="31">
        <f t="shared" si="185"/>
        <v>9.8593623949499554E-2</v>
      </c>
    </row>
    <row r="957" spans="1:27" x14ac:dyDescent="0.25">
      <c r="A957" s="6" t="str">
        <f t="shared" si="179"/>
        <v>fragment</v>
      </c>
      <c r="B957" s="6" t="s">
        <v>696</v>
      </c>
      <c r="C957" s="6" t="str">
        <f t="shared" si="180"/>
        <v>HC66 572</v>
      </c>
      <c r="D957" s="22" t="s">
        <v>871</v>
      </c>
      <c r="E957" s="22">
        <v>572</v>
      </c>
      <c r="F957" s="22"/>
      <c r="G957" s="22" t="s">
        <v>998</v>
      </c>
      <c r="H957" s="22" t="s">
        <v>977</v>
      </c>
      <c r="I957" s="6" t="s">
        <v>20</v>
      </c>
      <c r="J957" s="30"/>
      <c r="K957" s="8" t="str">
        <f t="shared" si="181"/>
        <v/>
      </c>
      <c r="L957" s="8" t="str">
        <f t="shared" si="182"/>
        <v/>
      </c>
      <c r="M957" s="23">
        <v>1.62</v>
      </c>
      <c r="N957" s="23">
        <f>1.091+1.02</f>
        <v>2.1109999999999998</v>
      </c>
      <c r="O957" s="23">
        <v>2.629</v>
      </c>
      <c r="P957" s="23">
        <f>1.042+1.302+1.159</f>
        <v>3.5030000000000001</v>
      </c>
      <c r="Q957" s="23">
        <v>2.173</v>
      </c>
      <c r="R957" s="23">
        <f>1.121+1.114+1.177</f>
        <v>3.4120000000000004</v>
      </c>
      <c r="S957" s="8"/>
      <c r="T957" s="8"/>
      <c r="U957" s="8">
        <v>1.3030864197530863</v>
      </c>
      <c r="V957" s="8">
        <v>1.3324457968809433</v>
      </c>
      <c r="W957" s="8">
        <v>1.5701794753796596</v>
      </c>
      <c r="X957" s="8"/>
      <c r="Y957" s="31">
        <f t="shared" si="183"/>
        <v>-0.1467182430982733</v>
      </c>
      <c r="Z957" s="31">
        <f t="shared" si="184"/>
        <v>-0.1467182430982733</v>
      </c>
      <c r="AA957" s="31" t="str">
        <f t="shared" si="185"/>
        <v/>
      </c>
    </row>
    <row r="958" spans="1:27" x14ac:dyDescent="0.25">
      <c r="A958" s="6" t="str">
        <f t="shared" si="179"/>
        <v>complete</v>
      </c>
      <c r="B958" s="6" t="s">
        <v>696</v>
      </c>
      <c r="C958" s="6" t="str">
        <f t="shared" si="180"/>
        <v>HC66 87107</v>
      </c>
      <c r="D958" s="22" t="s">
        <v>871</v>
      </c>
      <c r="E958" s="20">
        <v>87107</v>
      </c>
      <c r="F958" s="22"/>
      <c r="G958" s="22" t="s">
        <v>968</v>
      </c>
      <c r="H958" s="22"/>
      <c r="I958" s="6" t="s">
        <v>20</v>
      </c>
      <c r="J958" s="30">
        <v>66.867999999999995</v>
      </c>
      <c r="K958" s="8">
        <f t="shared" si="181"/>
        <v>1.8252183337883063</v>
      </c>
      <c r="L958" s="8">
        <f t="shared" si="182"/>
        <v>8.8078907128284758</v>
      </c>
      <c r="M958" s="23">
        <v>2.8340000000000001</v>
      </c>
      <c r="N958" s="23">
        <f>0.81+1.814+0.193</f>
        <v>2.8170000000000002</v>
      </c>
      <c r="O958" s="23">
        <v>4.1379999999999999</v>
      </c>
      <c r="P958" s="23">
        <f>1.14+2.252+1.099</f>
        <v>4.4909999999999997</v>
      </c>
      <c r="Q958" s="23">
        <v>4.5540000000000003</v>
      </c>
      <c r="R958" s="23">
        <f>0.844+2.021+2.356+1.28</f>
        <v>6.5010000000000003</v>
      </c>
      <c r="S958" s="8"/>
      <c r="T958" s="8"/>
      <c r="U958" s="8">
        <v>0.99400141143260412</v>
      </c>
      <c r="V958" s="8">
        <v>1.0853069115514742</v>
      </c>
      <c r="W958" s="8">
        <v>1.4275362318840579</v>
      </c>
      <c r="X958" s="8"/>
      <c r="Y958" s="31">
        <f t="shared" si="183"/>
        <v>-6.7795260959617895E-2</v>
      </c>
      <c r="Z958" s="31" t="str">
        <f t="shared" si="184"/>
        <v/>
      </c>
      <c r="AA958" s="31">
        <f t="shared" si="185"/>
        <v>-6.7795260959617895E-2</v>
      </c>
    </row>
    <row r="959" spans="1:27" x14ac:dyDescent="0.25">
      <c r="A959" s="6" t="str">
        <f t="shared" si="179"/>
        <v>complete</v>
      </c>
      <c r="B959" s="6" t="s">
        <v>696</v>
      </c>
      <c r="C959" s="6" t="str">
        <f t="shared" si="180"/>
        <v>HC66 87107</v>
      </c>
      <c r="D959" s="22" t="s">
        <v>871</v>
      </c>
      <c r="E959" s="20">
        <v>87107</v>
      </c>
      <c r="F959" s="22"/>
      <c r="G959" s="22" t="s">
        <v>1101</v>
      </c>
      <c r="H959" s="22"/>
      <c r="I959" s="6" t="s">
        <v>20</v>
      </c>
      <c r="J959" s="30">
        <v>39.317999999999998</v>
      </c>
      <c r="K959" s="8">
        <f t="shared" si="181"/>
        <v>1.5945914183397822</v>
      </c>
      <c r="L959" s="8">
        <f t="shared" si="182"/>
        <v>8.2768526152735067</v>
      </c>
      <c r="M959" s="23"/>
      <c r="N959" s="23"/>
      <c r="O959" s="23"/>
      <c r="P959" s="23"/>
      <c r="Q959" s="23">
        <v>3.4980000000000002</v>
      </c>
      <c r="R959" s="23">
        <f>0.663+0.916+2.518+0.105+1.126</f>
        <v>5.3279999999999994</v>
      </c>
      <c r="S959" s="8"/>
      <c r="T959" s="8"/>
      <c r="U959" s="8"/>
      <c r="V959" s="8"/>
      <c r="W959" s="8">
        <v>1.5231560891938247</v>
      </c>
      <c r="X959" s="8"/>
      <c r="Y959" s="31">
        <f t="shared" si="183"/>
        <v>-0.18274441101958686</v>
      </c>
      <c r="Z959" s="31" t="str">
        <f t="shared" si="184"/>
        <v/>
      </c>
      <c r="AA959" s="31">
        <f t="shared" si="185"/>
        <v>-0.18274441101958686</v>
      </c>
    </row>
    <row r="960" spans="1:27" x14ac:dyDescent="0.25">
      <c r="A960" s="6" t="str">
        <f t="shared" si="179"/>
        <v>complete</v>
      </c>
      <c r="B960" s="6" t="s">
        <v>696</v>
      </c>
      <c r="C960" s="6" t="str">
        <f t="shared" si="180"/>
        <v>HC66 87107</v>
      </c>
      <c r="D960" s="22" t="s">
        <v>871</v>
      </c>
      <c r="E960" s="20">
        <v>87107</v>
      </c>
      <c r="F960" s="22"/>
      <c r="G960" s="22" t="s">
        <v>1102</v>
      </c>
      <c r="H960" s="22"/>
      <c r="I960" s="6" t="s">
        <v>20</v>
      </c>
      <c r="J960" s="30">
        <v>60.091999999999999</v>
      </c>
      <c r="K960" s="8">
        <f t="shared" si="181"/>
        <v>1.7788166585732208</v>
      </c>
      <c r="L960" s="8">
        <f t="shared" si="182"/>
        <v>8.7010469071882692</v>
      </c>
      <c r="M960" s="23">
        <v>3.7610000000000001</v>
      </c>
      <c r="N960" s="23">
        <f>0.877+2.049+0.537+1.57+0.4</f>
        <v>5.4330000000000007</v>
      </c>
      <c r="O960" s="23">
        <v>3.5430000000000001</v>
      </c>
      <c r="P960" s="23">
        <f>0.258+1.844+1.899+0.654</f>
        <v>4.6550000000000002</v>
      </c>
      <c r="Q960" s="23">
        <v>4.29</v>
      </c>
      <c r="R960" s="23">
        <f>1.379+1.935+1.323+1.461</f>
        <v>6.0980000000000008</v>
      </c>
      <c r="S960" s="8"/>
      <c r="T960" s="8"/>
      <c r="U960" s="8">
        <v>1.4445626163254455</v>
      </c>
      <c r="V960" s="8">
        <v>1.3138583121648322</v>
      </c>
      <c r="W960" s="8">
        <v>1.4214452214452216</v>
      </c>
      <c r="X960" s="8"/>
      <c r="Y960" s="31">
        <f t="shared" si="183"/>
        <v>-0.14404112005174916</v>
      </c>
      <c r="Z960" s="31" t="str">
        <f t="shared" si="184"/>
        <v/>
      </c>
      <c r="AA960" s="31">
        <f t="shared" si="185"/>
        <v>-0.14404112005174916</v>
      </c>
    </row>
    <row r="961" spans="1:27" x14ac:dyDescent="0.25">
      <c r="A961" s="6" t="str">
        <f t="shared" si="179"/>
        <v>fragment</v>
      </c>
      <c r="B961" s="6" t="s">
        <v>696</v>
      </c>
      <c r="C961" s="6" t="str">
        <f t="shared" si="180"/>
        <v>HC66 87107</v>
      </c>
      <c r="D961" s="22" t="s">
        <v>871</v>
      </c>
      <c r="E961" s="20">
        <v>87107</v>
      </c>
      <c r="F961" s="22"/>
      <c r="G961" s="22" t="s">
        <v>1103</v>
      </c>
      <c r="H961" s="22"/>
      <c r="I961" s="6" t="s">
        <v>20</v>
      </c>
      <c r="J961" s="30"/>
      <c r="K961" s="8" t="str">
        <f t="shared" si="181"/>
        <v/>
      </c>
      <c r="L961" s="8" t="str">
        <f t="shared" si="182"/>
        <v/>
      </c>
      <c r="M961" s="23"/>
      <c r="N961" s="23"/>
      <c r="O961" s="23">
        <v>4.1900000000000004</v>
      </c>
      <c r="P961" s="23">
        <f>0.827+0.606+1.733+1.261+1.366</f>
        <v>5.7929999999999993</v>
      </c>
      <c r="Q961" s="23">
        <v>5.4550000000000001</v>
      </c>
      <c r="R961" s="23">
        <f>2.019+0.647+0.466+2.258+0.566+0.738</f>
        <v>6.6940000000000008</v>
      </c>
      <c r="S961" s="8"/>
      <c r="T961" s="8"/>
      <c r="U961" s="8"/>
      <c r="V961" s="8">
        <v>1.3825775656324579</v>
      </c>
      <c r="W961" s="8">
        <v>1.2271310724106326</v>
      </c>
      <c r="X961" s="8"/>
      <c r="Y961" s="31">
        <f t="shared" si="183"/>
        <v>-0.11556202740093192</v>
      </c>
      <c r="Z961" s="31">
        <f t="shared" si="184"/>
        <v>-0.11556202740093192</v>
      </c>
      <c r="AA961" s="31" t="str">
        <f t="shared" si="185"/>
        <v/>
      </c>
    </row>
    <row r="962" spans="1:27" x14ac:dyDescent="0.25">
      <c r="A962" s="6" t="str">
        <f t="shared" ref="A962:A1025" si="193">IF(J962&gt;0,"complete","fragment")</f>
        <v>fragment</v>
      </c>
      <c r="B962" s="6" t="s">
        <v>696</v>
      </c>
      <c r="C962" s="6" t="str">
        <f t="shared" ref="C962:C1025" si="194">D962&amp;" "&amp;E962</f>
        <v>HC66 87107</v>
      </c>
      <c r="D962" s="22" t="s">
        <v>871</v>
      </c>
      <c r="E962" s="20">
        <v>87107</v>
      </c>
      <c r="F962" s="22"/>
      <c r="G962" s="22" t="s">
        <v>1104</v>
      </c>
      <c r="H962" s="22"/>
      <c r="I962" s="6" t="s">
        <v>20</v>
      </c>
      <c r="J962" s="30"/>
      <c r="K962" s="8" t="str">
        <f t="shared" ref="K962:K1025" si="195">IF(J962&gt;0,LOG(J962),"")</f>
        <v/>
      </c>
      <c r="L962" s="8" t="str">
        <f t="shared" ref="L962:L1025" si="196">IF(J962&gt;0,LN(J962*100),"")</f>
        <v/>
      </c>
      <c r="M962" s="23"/>
      <c r="N962" s="23"/>
      <c r="O962" s="23">
        <v>2.6040000000000001</v>
      </c>
      <c r="P962" s="23">
        <f>0.362+1.787+0.446+1.299+1.211</f>
        <v>5.1050000000000004</v>
      </c>
      <c r="Q962" s="23">
        <v>1.889</v>
      </c>
      <c r="R962" s="23">
        <f>1.12+1.293+0.378+1.309</f>
        <v>4.1000000000000005</v>
      </c>
      <c r="S962" s="8"/>
      <c r="T962" s="8"/>
      <c r="U962" s="8"/>
      <c r="V962" s="8">
        <v>1.9604454685099848</v>
      </c>
      <c r="W962" s="8">
        <v>2.1704605611434622</v>
      </c>
      <c r="X962" s="8"/>
      <c r="Y962" s="31">
        <f t="shared" ref="Y962:Y1025" si="197">IF(COUNT(U962:X962)&gt;0,LOG(1/AVERAGE(U962:X962)),"")</f>
        <v>-0.31501532004193161</v>
      </c>
      <c r="Z962" s="31">
        <f t="shared" ref="Z962:Z1025" si="198">IF(A962="fragment",IF(ISNUMBER(Y962)=TRUE,Y962,""),"")</f>
        <v>-0.31501532004193161</v>
      </c>
      <c r="AA962" s="31" t="str">
        <f t="shared" ref="AA962:AA1025" si="199">IF(A962="complete",IF(ISNUMBER(Y962)=TRUE,Y962,""),"")</f>
        <v/>
      </c>
    </row>
    <row r="963" spans="1:27" x14ac:dyDescent="0.25">
      <c r="A963" s="6" t="str">
        <f t="shared" si="193"/>
        <v>complete</v>
      </c>
      <c r="B963" s="6" t="s">
        <v>696</v>
      </c>
      <c r="C963" s="6" t="str">
        <f t="shared" si="194"/>
        <v>HC66 87107</v>
      </c>
      <c r="D963" s="22" t="s">
        <v>871</v>
      </c>
      <c r="E963" s="20">
        <v>87107</v>
      </c>
      <c r="F963" s="22"/>
      <c r="G963" s="22" t="s">
        <v>1105</v>
      </c>
      <c r="H963" s="22"/>
      <c r="I963" s="6" t="s">
        <v>20</v>
      </c>
      <c r="J963" s="30">
        <v>33.408999999999999</v>
      </c>
      <c r="K963" s="8">
        <f t="shared" si="195"/>
        <v>1.5238634765066885</v>
      </c>
      <c r="L963" s="8">
        <f t="shared" si="196"/>
        <v>8.113995510750474</v>
      </c>
      <c r="M963" s="23"/>
      <c r="N963" s="23"/>
      <c r="O963" s="23">
        <v>2.9089999999999998</v>
      </c>
      <c r="P963" s="23">
        <f>0.958+1.575+0.703</f>
        <v>3.2359999999999998</v>
      </c>
      <c r="Q963" s="23">
        <v>2.746</v>
      </c>
      <c r="R963" s="23">
        <f>0.487+1.725+0.36+0.667</f>
        <v>3.2389999999999999</v>
      </c>
      <c r="S963" s="8"/>
      <c r="T963" s="8"/>
      <c r="U963" s="8"/>
      <c r="V963" s="8">
        <v>1.1124097628050877</v>
      </c>
      <c r="W963" s="8">
        <v>1.1795338674435543</v>
      </c>
      <c r="X963" s="8"/>
      <c r="Y963" s="31">
        <f t="shared" si="197"/>
        <v>-5.9173936404053856E-2</v>
      </c>
      <c r="Z963" s="31" t="str">
        <f t="shared" si="198"/>
        <v/>
      </c>
      <c r="AA963" s="31">
        <f t="shared" si="199"/>
        <v>-5.9173936404053856E-2</v>
      </c>
    </row>
    <row r="964" spans="1:27" x14ac:dyDescent="0.25">
      <c r="A964" s="6" t="str">
        <f t="shared" si="193"/>
        <v>fragment</v>
      </c>
      <c r="B964" s="6" t="s">
        <v>696</v>
      </c>
      <c r="C964" s="6" t="str">
        <f t="shared" si="194"/>
        <v>HC66 87107</v>
      </c>
      <c r="D964" s="22" t="s">
        <v>871</v>
      </c>
      <c r="E964" s="20">
        <v>87107</v>
      </c>
      <c r="F964" s="22"/>
      <c r="G964" s="22" t="s">
        <v>1106</v>
      </c>
      <c r="H964" s="22"/>
      <c r="I964" s="6" t="s">
        <v>20</v>
      </c>
      <c r="J964" s="30"/>
      <c r="K964" s="8" t="str">
        <f t="shared" si="195"/>
        <v/>
      </c>
      <c r="L964" s="8" t="str">
        <f t="shared" si="196"/>
        <v/>
      </c>
      <c r="M964" s="23"/>
      <c r="N964" s="23"/>
      <c r="O964" s="23">
        <v>4.694</v>
      </c>
      <c r="P964" s="23">
        <f>2.12+0.314+1.822+1.28</f>
        <v>5.5360000000000005</v>
      </c>
      <c r="Q964" s="23">
        <v>5.7370000000000001</v>
      </c>
      <c r="R964" s="23">
        <f>0.826+2.701+1.649</f>
        <v>5.1760000000000002</v>
      </c>
      <c r="S964" s="8"/>
      <c r="T964" s="8"/>
      <c r="U964" s="8"/>
      <c r="V964" s="8">
        <v>1.1793779292714104</v>
      </c>
      <c r="W964" s="8">
        <v>0.9022137005403521</v>
      </c>
      <c r="X964" s="8"/>
      <c r="Y964" s="31">
        <f t="shared" si="197"/>
        <v>-1.7365537236335091E-2</v>
      </c>
      <c r="Z964" s="31">
        <f t="shared" si="198"/>
        <v>-1.7365537236335091E-2</v>
      </c>
      <c r="AA964" s="31" t="str">
        <f t="shared" si="199"/>
        <v/>
      </c>
    </row>
    <row r="965" spans="1:27" x14ac:dyDescent="0.25">
      <c r="A965" s="6" t="str">
        <f t="shared" si="193"/>
        <v>fragment</v>
      </c>
      <c r="B965" s="6" t="s">
        <v>696</v>
      </c>
      <c r="C965" s="6" t="str">
        <f t="shared" si="194"/>
        <v>HC66 87107</v>
      </c>
      <c r="D965" s="22" t="s">
        <v>871</v>
      </c>
      <c r="E965" s="20">
        <v>87107</v>
      </c>
      <c r="F965" s="22"/>
      <c r="G965" s="22" t="s">
        <v>1107</v>
      </c>
      <c r="H965" s="22"/>
      <c r="I965" s="6" t="s">
        <v>20</v>
      </c>
      <c r="J965" s="30"/>
      <c r="K965" s="8" t="str">
        <f t="shared" si="195"/>
        <v/>
      </c>
      <c r="L965" s="8" t="str">
        <f t="shared" si="196"/>
        <v/>
      </c>
      <c r="M965" s="23"/>
      <c r="N965" s="23"/>
      <c r="O965" s="23">
        <v>1.9219999999999999</v>
      </c>
      <c r="P965" s="23">
        <f>1.68+0.842</f>
        <v>2.5219999999999998</v>
      </c>
      <c r="Q965" s="23">
        <v>3.194</v>
      </c>
      <c r="R965" s="23">
        <f>0.44+1.729+1.789+0.811</f>
        <v>4.7690000000000001</v>
      </c>
      <c r="S965" s="8"/>
      <c r="T965" s="8"/>
      <c r="U965" s="8"/>
      <c r="V965" s="8">
        <v>1.3121748178980228</v>
      </c>
      <c r="W965" s="8">
        <v>1.4931120851596744</v>
      </c>
      <c r="X965" s="8"/>
      <c r="Y965" s="31">
        <f t="shared" si="197"/>
        <v>-0.14694728848185259</v>
      </c>
      <c r="Z965" s="31">
        <f t="shared" si="198"/>
        <v>-0.14694728848185259</v>
      </c>
      <c r="AA965" s="31" t="str">
        <f t="shared" si="199"/>
        <v/>
      </c>
    </row>
    <row r="966" spans="1:27" x14ac:dyDescent="0.25">
      <c r="A966" s="6" t="str">
        <f t="shared" si="193"/>
        <v>fragment</v>
      </c>
      <c r="B966" s="6" t="s">
        <v>696</v>
      </c>
      <c r="C966" s="6" t="str">
        <f t="shared" si="194"/>
        <v>HC66 87107</v>
      </c>
      <c r="D966" s="22" t="s">
        <v>871</v>
      </c>
      <c r="E966" s="20">
        <v>87107</v>
      </c>
      <c r="F966" s="22"/>
      <c r="G966" s="22" t="s">
        <v>1108</v>
      </c>
      <c r="H966" s="22"/>
      <c r="I966" s="6" t="s">
        <v>20</v>
      </c>
      <c r="J966" s="30"/>
      <c r="K966" s="8" t="str">
        <f t="shared" si="195"/>
        <v/>
      </c>
      <c r="L966" s="8" t="str">
        <f t="shared" si="196"/>
        <v/>
      </c>
      <c r="M966" s="23"/>
      <c r="N966" s="23"/>
      <c r="O966" s="23"/>
      <c r="P966" s="23"/>
      <c r="Q966" s="23">
        <v>4.5209999999999999</v>
      </c>
      <c r="R966" s="23">
        <f>0.436+0.656+3.032+0.22+0.702+0.466</f>
        <v>5.5120000000000005</v>
      </c>
      <c r="S966" s="8"/>
      <c r="T966" s="8"/>
      <c r="U966" s="8"/>
      <c r="V966" s="8"/>
      <c r="W966" s="8">
        <v>1.219199292191993</v>
      </c>
      <c r="X966" s="8"/>
      <c r="Y966" s="31">
        <f t="shared" si="197"/>
        <v>-8.6074701865275147E-2</v>
      </c>
      <c r="Z966" s="31">
        <f t="shared" si="198"/>
        <v>-8.6074701865275147E-2</v>
      </c>
      <c r="AA966" s="31" t="str">
        <f t="shared" si="199"/>
        <v/>
      </c>
    </row>
    <row r="967" spans="1:27" x14ac:dyDescent="0.25">
      <c r="A967" s="6" t="str">
        <f t="shared" si="193"/>
        <v>fragment</v>
      </c>
      <c r="B967" s="6" t="s">
        <v>696</v>
      </c>
      <c r="C967" s="6" t="str">
        <f t="shared" si="194"/>
        <v>HC66 87107</v>
      </c>
      <c r="D967" s="22" t="s">
        <v>871</v>
      </c>
      <c r="E967" s="20">
        <v>87107</v>
      </c>
      <c r="F967" s="22"/>
      <c r="G967" s="22" t="s">
        <v>1109</v>
      </c>
      <c r="H967" s="22"/>
      <c r="I967" s="6" t="s">
        <v>20</v>
      </c>
      <c r="J967" s="30"/>
      <c r="K967" s="8" t="str">
        <f t="shared" si="195"/>
        <v/>
      </c>
      <c r="L967" s="8" t="str">
        <f t="shared" si="196"/>
        <v/>
      </c>
      <c r="M967" s="23">
        <v>2.2349999999999999</v>
      </c>
      <c r="N967" s="23">
        <f>1.05+1.679+0.365</f>
        <v>3.0940000000000003</v>
      </c>
      <c r="O967" s="23">
        <v>2.6629999999999998</v>
      </c>
      <c r="P967" s="23">
        <f>0.846+1.768+0.786</f>
        <v>3.4</v>
      </c>
      <c r="Q967" s="23">
        <v>1.9350000000000001</v>
      </c>
      <c r="R967" s="23">
        <f>0.548+1.247+1.091</f>
        <v>2.8860000000000001</v>
      </c>
      <c r="S967" s="8"/>
      <c r="T967" s="8"/>
      <c r="U967" s="8">
        <v>1.3843400447427294</v>
      </c>
      <c r="V967" s="8">
        <v>1.2767555388659406</v>
      </c>
      <c r="W967" s="8">
        <v>1.4914728682170544</v>
      </c>
      <c r="X967" s="8"/>
      <c r="Y967" s="31">
        <f t="shared" si="197"/>
        <v>-0.14119554546581989</v>
      </c>
      <c r="Z967" s="31">
        <f t="shared" si="198"/>
        <v>-0.14119554546581989</v>
      </c>
      <c r="AA967" s="31" t="str">
        <f t="shared" si="199"/>
        <v/>
      </c>
    </row>
    <row r="968" spans="1:27" x14ac:dyDescent="0.25">
      <c r="A968" s="6" t="str">
        <f t="shared" si="193"/>
        <v>fragment</v>
      </c>
      <c r="B968" s="6" t="s">
        <v>696</v>
      </c>
      <c r="C968" s="6" t="str">
        <f t="shared" si="194"/>
        <v>HC66 87107</v>
      </c>
      <c r="D968" s="22" t="s">
        <v>871</v>
      </c>
      <c r="E968" s="20">
        <v>87107</v>
      </c>
      <c r="F968" s="22"/>
      <c r="G968" s="22" t="s">
        <v>1110</v>
      </c>
      <c r="H968" s="22"/>
      <c r="I968" s="6" t="s">
        <v>20</v>
      </c>
      <c r="J968" s="30"/>
      <c r="K968" s="8" t="str">
        <f t="shared" si="195"/>
        <v/>
      </c>
      <c r="L968" s="8" t="str">
        <f t="shared" si="196"/>
        <v/>
      </c>
      <c r="M968" s="23"/>
      <c r="N968" s="23"/>
      <c r="O968" s="23">
        <v>5.27</v>
      </c>
      <c r="P968" s="23">
        <f>1.392+2.109+1.133</f>
        <v>4.6340000000000003</v>
      </c>
      <c r="Q968" s="23">
        <v>3.8450000000000002</v>
      </c>
      <c r="R968" s="23">
        <f>0.817+1.763+0.999</f>
        <v>3.5790000000000002</v>
      </c>
      <c r="S968" s="8"/>
      <c r="T968" s="8"/>
      <c r="U968" s="8"/>
      <c r="V968" s="8">
        <v>0.87931688804554098</v>
      </c>
      <c r="W968" s="8">
        <v>0.9308192457737321</v>
      </c>
      <c r="X968" s="8"/>
      <c r="Y968" s="31">
        <f t="shared" si="197"/>
        <v>4.3318757842712524E-2</v>
      </c>
      <c r="Z968" s="31">
        <f t="shared" si="198"/>
        <v>4.3318757842712524E-2</v>
      </c>
      <c r="AA968" s="31" t="str">
        <f t="shared" si="199"/>
        <v/>
      </c>
    </row>
    <row r="969" spans="1:27" x14ac:dyDescent="0.25">
      <c r="A969" s="6" t="str">
        <f t="shared" si="193"/>
        <v>fragment</v>
      </c>
      <c r="B969" s="6" t="s">
        <v>696</v>
      </c>
      <c r="C969" s="6" t="str">
        <f t="shared" si="194"/>
        <v>HC66 87107</v>
      </c>
      <c r="D969" s="22" t="s">
        <v>871</v>
      </c>
      <c r="E969" s="20">
        <v>87107</v>
      </c>
      <c r="F969" s="22"/>
      <c r="G969" s="22" t="s">
        <v>1111</v>
      </c>
      <c r="H969" s="22"/>
      <c r="I969" s="6" t="s">
        <v>20</v>
      </c>
      <c r="J969" s="30"/>
      <c r="K969" s="8" t="str">
        <f t="shared" si="195"/>
        <v/>
      </c>
      <c r="L969" s="8" t="str">
        <f t="shared" si="196"/>
        <v/>
      </c>
      <c r="M969" s="23"/>
      <c r="N969" s="23"/>
      <c r="O969" s="23"/>
      <c r="P969" s="23"/>
      <c r="Q969" s="23">
        <v>3.661</v>
      </c>
      <c r="R969" s="23">
        <f>0.959+1.928+0.774</f>
        <v>3.661</v>
      </c>
      <c r="S969" s="8"/>
      <c r="T969" s="8"/>
      <c r="U969" s="8"/>
      <c r="V969" s="8"/>
      <c r="W969" s="8">
        <v>1</v>
      </c>
      <c r="X969" s="8"/>
      <c r="Y969" s="31">
        <f t="shared" si="197"/>
        <v>0</v>
      </c>
      <c r="Z969" s="31">
        <f t="shared" si="198"/>
        <v>0</v>
      </c>
      <c r="AA969" s="31" t="str">
        <f t="shared" si="199"/>
        <v/>
      </c>
    </row>
    <row r="970" spans="1:27" x14ac:dyDescent="0.25">
      <c r="A970" s="6" t="str">
        <f t="shared" si="193"/>
        <v>fragment</v>
      </c>
      <c r="B970" s="6" t="s">
        <v>696</v>
      </c>
      <c r="C970" s="6" t="str">
        <f t="shared" si="194"/>
        <v>HC66 87107</v>
      </c>
      <c r="D970" s="22" t="s">
        <v>871</v>
      </c>
      <c r="E970" s="20">
        <v>87107</v>
      </c>
      <c r="F970" s="22"/>
      <c r="G970" s="22" t="s">
        <v>1112</v>
      </c>
      <c r="H970" s="22"/>
      <c r="I970" s="6" t="s">
        <v>20</v>
      </c>
      <c r="J970" s="30"/>
      <c r="K970" s="8" t="str">
        <f t="shared" si="195"/>
        <v/>
      </c>
      <c r="L970" s="8" t="str">
        <f t="shared" si="196"/>
        <v/>
      </c>
      <c r="M970" s="23"/>
      <c r="N970" s="23"/>
      <c r="O970" s="23">
        <v>2.214</v>
      </c>
      <c r="P970" s="23">
        <f>1.355+0.748</f>
        <v>2.1029999999999998</v>
      </c>
      <c r="Q970" s="23">
        <v>2.7970000000000002</v>
      </c>
      <c r="R970" s="23">
        <f>1.07+1.493+0.371</f>
        <v>2.9340000000000002</v>
      </c>
      <c r="S970" s="8"/>
      <c r="T970" s="8"/>
      <c r="U970" s="8"/>
      <c r="V970" s="8">
        <v>0.94986449864498634</v>
      </c>
      <c r="W970" s="8">
        <v>1.0489810511262065</v>
      </c>
      <c r="X970" s="8"/>
      <c r="Y970" s="31">
        <f t="shared" si="197"/>
        <v>2.5075806089117927E-4</v>
      </c>
      <c r="Z970" s="31">
        <f t="shared" si="198"/>
        <v>2.5075806089117927E-4</v>
      </c>
      <c r="AA970" s="31" t="str">
        <f t="shared" si="199"/>
        <v/>
      </c>
    </row>
    <row r="971" spans="1:27" x14ac:dyDescent="0.25">
      <c r="A971" s="6" t="str">
        <f t="shared" si="193"/>
        <v>complete</v>
      </c>
      <c r="B971" s="6" t="s">
        <v>694</v>
      </c>
      <c r="C971" s="6" t="str">
        <f t="shared" si="194"/>
        <v>HC66 87107</v>
      </c>
      <c r="D971" s="6" t="s">
        <v>871</v>
      </c>
      <c r="E971" s="20">
        <v>87107</v>
      </c>
      <c r="G971" s="6" t="s">
        <v>877</v>
      </c>
      <c r="I971" s="6" t="s">
        <v>20</v>
      </c>
      <c r="J971" s="29">
        <v>69.204719999999995</v>
      </c>
      <c r="K971" s="8">
        <f t="shared" si="195"/>
        <v>1.8401357158447478</v>
      </c>
      <c r="L971" s="8">
        <f t="shared" si="196"/>
        <v>8.8422392543781339</v>
      </c>
      <c r="M971" s="8">
        <v>7.6669999999999998</v>
      </c>
      <c r="N971" s="8">
        <f>1.733+2.237+2.185+1.275</f>
        <v>7.43</v>
      </c>
      <c r="O971" s="8">
        <v>12.086</v>
      </c>
      <c r="P971" s="8">
        <f>0.736+2.811+3.089+3.048+2.475+0.742</f>
        <v>12.901</v>
      </c>
      <c r="Q971" s="8"/>
      <c r="R971" s="8"/>
      <c r="S971" s="8"/>
      <c r="T971" s="8"/>
      <c r="U971" s="8">
        <f>N971/M971</f>
        <v>0.96908830050867356</v>
      </c>
      <c r="V971" s="8">
        <f t="shared" ref="V971:V979" si="200">P971/O971</f>
        <v>1.0674333940095979</v>
      </c>
      <c r="W971" s="8"/>
      <c r="X971" s="8"/>
      <c r="Y971" s="31">
        <f t="shared" si="197"/>
        <v>-7.8590452050712276E-3</v>
      </c>
      <c r="Z971" s="31" t="str">
        <f t="shared" si="198"/>
        <v/>
      </c>
      <c r="AA971" s="31">
        <f t="shared" si="199"/>
        <v>-7.8590452050712276E-3</v>
      </c>
    </row>
    <row r="972" spans="1:27" x14ac:dyDescent="0.25">
      <c r="A972" s="6" t="str">
        <f t="shared" si="193"/>
        <v>complete</v>
      </c>
      <c r="B972" s="6" t="s">
        <v>879</v>
      </c>
      <c r="C972" s="6" t="str">
        <f t="shared" si="194"/>
        <v>HC81 2203</v>
      </c>
      <c r="D972" s="6" t="s">
        <v>878</v>
      </c>
      <c r="E972" s="20">
        <v>2203</v>
      </c>
      <c r="F972" s="6" t="s">
        <v>561</v>
      </c>
      <c r="G972" s="6" t="s">
        <v>880</v>
      </c>
      <c r="H972" s="6" t="s">
        <v>977</v>
      </c>
      <c r="I972" s="6" t="s">
        <v>5</v>
      </c>
      <c r="J972" s="29">
        <v>0.90700000000000003</v>
      </c>
      <c r="K972" s="8">
        <f t="shared" si="195"/>
        <v>-4.2392712939904729E-2</v>
      </c>
      <c r="L972" s="8">
        <f t="shared" si="196"/>
        <v>4.5075573571210912</v>
      </c>
      <c r="M972" s="8"/>
      <c r="N972" s="8"/>
      <c r="O972" s="8">
        <v>0.108</v>
      </c>
      <c r="P972" s="8">
        <f>0.135+0.443+0.104</f>
        <v>0.68200000000000005</v>
      </c>
      <c r="Q972" s="8"/>
      <c r="R972" s="8"/>
      <c r="S972" s="8">
        <v>0.11700000000000001</v>
      </c>
      <c r="T972" s="8">
        <f>0.137+0.467+0.121</f>
        <v>0.72500000000000009</v>
      </c>
      <c r="U972" s="8"/>
      <c r="V972" s="8">
        <f t="shared" si="200"/>
        <v>6.3148148148148158</v>
      </c>
      <c r="W972" s="8"/>
      <c r="X972" s="8">
        <f>T972/S972</f>
        <v>6.1965811965811968</v>
      </c>
      <c r="Y972" s="31">
        <f t="shared" si="197"/>
        <v>-0.79627577495834256</v>
      </c>
      <c r="Z972" s="31" t="str">
        <f t="shared" si="198"/>
        <v/>
      </c>
      <c r="AA972" s="31">
        <f t="shared" si="199"/>
        <v>-0.79627577495834256</v>
      </c>
    </row>
    <row r="973" spans="1:27" x14ac:dyDescent="0.25">
      <c r="A973" s="6" t="str">
        <f t="shared" si="193"/>
        <v>complete</v>
      </c>
      <c r="B973" s="6" t="s">
        <v>879</v>
      </c>
      <c r="C973" s="6" t="str">
        <f t="shared" si="194"/>
        <v>HC81 2203</v>
      </c>
      <c r="D973" s="6" t="s">
        <v>878</v>
      </c>
      <c r="E973" s="20">
        <v>2203</v>
      </c>
      <c r="F973" s="6" t="s">
        <v>561</v>
      </c>
      <c r="G973" s="6" t="s">
        <v>882</v>
      </c>
      <c r="H973" s="6" t="s">
        <v>977</v>
      </c>
      <c r="I973" s="6" t="s">
        <v>5</v>
      </c>
      <c r="J973" s="29">
        <v>3.5310000000000001</v>
      </c>
      <c r="K973" s="8">
        <f t="shared" si="195"/>
        <v>0.54789771756309713</v>
      </c>
      <c r="L973" s="8">
        <f t="shared" si="196"/>
        <v>5.8667513029343406</v>
      </c>
      <c r="M973" s="8"/>
      <c r="N973" s="8"/>
      <c r="O973" s="8">
        <v>0.442</v>
      </c>
      <c r="P973" s="8">
        <f>0.618+0.752</f>
        <v>1.37</v>
      </c>
      <c r="Q973" s="8"/>
      <c r="R973" s="8"/>
      <c r="S973" s="8">
        <v>0.74299999999999999</v>
      </c>
      <c r="T973" s="8">
        <f>1.127+0.766</f>
        <v>1.893</v>
      </c>
      <c r="U973" s="8"/>
      <c r="V973" s="8">
        <f t="shared" si="200"/>
        <v>3.0995475113122173</v>
      </c>
      <c r="W973" s="8"/>
      <c r="X973" s="8">
        <f>T973/S973</f>
        <v>2.5477792732166891</v>
      </c>
      <c r="Y973" s="31">
        <f t="shared" si="197"/>
        <v>-0.45081292340129364</v>
      </c>
      <c r="Z973" s="31" t="str">
        <f t="shared" si="198"/>
        <v/>
      </c>
      <c r="AA973" s="31">
        <f t="shared" si="199"/>
        <v>-0.45081292340129364</v>
      </c>
    </row>
    <row r="974" spans="1:27" x14ac:dyDescent="0.25">
      <c r="A974" s="6" t="str">
        <f t="shared" si="193"/>
        <v>fragment</v>
      </c>
      <c r="B974" s="6" t="s">
        <v>879</v>
      </c>
      <c r="C974" s="6" t="str">
        <f t="shared" si="194"/>
        <v>HC81 2203</v>
      </c>
      <c r="D974" s="6" t="s">
        <v>878</v>
      </c>
      <c r="E974" s="20">
        <v>2203</v>
      </c>
      <c r="F974" s="6" t="s">
        <v>561</v>
      </c>
      <c r="G974" s="6" t="s">
        <v>883</v>
      </c>
      <c r="H974" s="6" t="s">
        <v>977</v>
      </c>
      <c r="I974" s="6" t="s">
        <v>5</v>
      </c>
      <c r="J974" s="29"/>
      <c r="K974" s="8" t="str">
        <f t="shared" si="195"/>
        <v/>
      </c>
      <c r="L974" s="8" t="str">
        <f t="shared" si="196"/>
        <v/>
      </c>
      <c r="M974" s="8"/>
      <c r="N974" s="8"/>
      <c r="O974" s="8">
        <v>0.52600000000000002</v>
      </c>
      <c r="P974" s="8">
        <f>0.781+0.647+0.168</f>
        <v>1.5959999999999999</v>
      </c>
      <c r="Q974" s="8"/>
      <c r="R974" s="8"/>
      <c r="S974" s="8"/>
      <c r="T974" s="8"/>
      <c r="U974" s="8"/>
      <c r="V974" s="8">
        <f t="shared" si="200"/>
        <v>3.0342205323193912</v>
      </c>
      <c r="W974" s="8"/>
      <c r="X974" s="8"/>
      <c r="Y974" s="31">
        <f t="shared" si="197"/>
        <v>-0.48204714286097144</v>
      </c>
      <c r="Z974" s="31">
        <f t="shared" si="198"/>
        <v>-0.48204714286097144</v>
      </c>
      <c r="AA974" s="31" t="str">
        <f t="shared" si="199"/>
        <v/>
      </c>
    </row>
    <row r="975" spans="1:27" x14ac:dyDescent="0.25">
      <c r="A975" s="6" t="str">
        <f t="shared" si="193"/>
        <v>complete</v>
      </c>
      <c r="B975" s="6" t="s">
        <v>879</v>
      </c>
      <c r="C975" s="6" t="str">
        <f t="shared" si="194"/>
        <v>HC81 2203</v>
      </c>
      <c r="D975" s="6" t="s">
        <v>878</v>
      </c>
      <c r="E975" s="20">
        <v>2203</v>
      </c>
      <c r="F975" s="6" t="s">
        <v>561</v>
      </c>
      <c r="G975" s="6" t="s">
        <v>884</v>
      </c>
      <c r="H975" s="6" t="s">
        <v>977</v>
      </c>
      <c r="I975" s="6" t="s">
        <v>5</v>
      </c>
      <c r="J975" s="29">
        <v>1.6319999999999999</v>
      </c>
      <c r="K975" s="8">
        <f t="shared" si="195"/>
        <v>0.21272015441784231</v>
      </c>
      <c r="L975" s="8">
        <f t="shared" si="196"/>
        <v>5.0949764425300064</v>
      </c>
      <c r="M975" s="8"/>
      <c r="N975" s="8"/>
      <c r="O975" s="8">
        <v>0.17699999999999999</v>
      </c>
      <c r="P975" s="8">
        <f>0.456+0.331</f>
        <v>0.78700000000000003</v>
      </c>
      <c r="Q975" s="8"/>
      <c r="R975" s="8"/>
      <c r="S975" s="8">
        <v>0.21199999999999999</v>
      </c>
      <c r="T975" s="8">
        <f>0.492+0.386</f>
        <v>0.878</v>
      </c>
      <c r="U975" s="8"/>
      <c r="V975" s="8">
        <f t="shared" si="200"/>
        <v>4.4463276836158192</v>
      </c>
      <c r="W975" s="8"/>
      <c r="X975" s="8">
        <f>T975/S975</f>
        <v>4.1415094339622645</v>
      </c>
      <c r="Y975" s="31">
        <f t="shared" si="197"/>
        <v>-0.63285380307090133</v>
      </c>
      <c r="Z975" s="31" t="str">
        <f t="shared" si="198"/>
        <v/>
      </c>
      <c r="AA975" s="31">
        <f t="shared" si="199"/>
        <v>-0.63285380307090133</v>
      </c>
    </row>
    <row r="976" spans="1:27" x14ac:dyDescent="0.25">
      <c r="A976" s="6" t="str">
        <f t="shared" si="193"/>
        <v>complete</v>
      </c>
      <c r="B976" s="6" t="s">
        <v>879</v>
      </c>
      <c r="C976" s="6" t="str">
        <f t="shared" si="194"/>
        <v>HC81 2203</v>
      </c>
      <c r="D976" s="6" t="s">
        <v>878</v>
      </c>
      <c r="E976" s="20">
        <v>2203</v>
      </c>
      <c r="F976" s="6" t="s">
        <v>561</v>
      </c>
      <c r="G976" s="6" t="s">
        <v>885</v>
      </c>
      <c r="H976" s="6" t="s">
        <v>977</v>
      </c>
      <c r="I976" s="6" t="s">
        <v>5</v>
      </c>
      <c r="J976" s="29">
        <v>2.294</v>
      </c>
      <c r="K976" s="8">
        <f t="shared" si="195"/>
        <v>0.36059341356524888</v>
      </c>
      <c r="L976" s="8">
        <f t="shared" si="196"/>
        <v>5.4354672046952706</v>
      </c>
      <c r="M976" s="8"/>
      <c r="N976" s="8"/>
      <c r="O976" s="8">
        <v>0.34699999999999998</v>
      </c>
      <c r="P976" s="8">
        <f>0.378+0.619</f>
        <v>0.997</v>
      </c>
      <c r="Q976" s="8"/>
      <c r="R976" s="8"/>
      <c r="S976" s="8">
        <v>0.27900000000000003</v>
      </c>
      <c r="T976" s="8">
        <f>0.317+0.612+0.279</f>
        <v>1.2080000000000002</v>
      </c>
      <c r="U976" s="8"/>
      <c r="V976" s="8">
        <f t="shared" si="200"/>
        <v>2.8731988472622478</v>
      </c>
      <c r="W976" s="8"/>
      <c r="X976" s="8">
        <f>T976/S976</f>
        <v>4.3297491039426523</v>
      </c>
      <c r="Y976" s="31">
        <f t="shared" si="197"/>
        <v>-0.55648028089444224</v>
      </c>
      <c r="Z976" s="31" t="str">
        <f t="shared" si="198"/>
        <v/>
      </c>
      <c r="AA976" s="31">
        <f t="shared" si="199"/>
        <v>-0.55648028089444224</v>
      </c>
    </row>
    <row r="977" spans="1:27" x14ac:dyDescent="0.25">
      <c r="A977" s="6" t="str">
        <f t="shared" si="193"/>
        <v>complete</v>
      </c>
      <c r="B977" s="6" t="s">
        <v>879</v>
      </c>
      <c r="C977" s="6" t="str">
        <f t="shared" si="194"/>
        <v>HC81 2203</v>
      </c>
      <c r="D977" s="6" t="s">
        <v>878</v>
      </c>
      <c r="E977" s="20">
        <v>2203</v>
      </c>
      <c r="F977" s="6" t="s">
        <v>561</v>
      </c>
      <c r="G977" s="6" t="s">
        <v>886</v>
      </c>
      <c r="H977" s="6" t="s">
        <v>977</v>
      </c>
      <c r="I977" s="6" t="s">
        <v>5</v>
      </c>
      <c r="J977" s="29">
        <f>6.012*2</f>
        <v>12.023999999999999</v>
      </c>
      <c r="K977" s="8">
        <f t="shared" si="195"/>
        <v>1.0800489675788516</v>
      </c>
      <c r="L977" s="8">
        <f t="shared" si="196"/>
        <v>7.0920748384387648</v>
      </c>
      <c r="M977" s="8"/>
      <c r="N977" s="8"/>
      <c r="O977" s="8">
        <v>0.249</v>
      </c>
      <c r="P977" s="8">
        <f>0.497+0.403</f>
        <v>0.9</v>
      </c>
      <c r="Q977" s="8">
        <v>0.14399999999999999</v>
      </c>
      <c r="R977" s="8">
        <f>0.214+0.214+0.215</f>
        <v>0.64300000000000002</v>
      </c>
      <c r="S977" s="8"/>
      <c r="T977" s="8"/>
      <c r="U977" s="8"/>
      <c r="V977" s="8">
        <f t="shared" si="200"/>
        <v>3.6144578313253013</v>
      </c>
      <c r="W977" s="8">
        <f>R977/Q977</f>
        <v>4.4652777777777786</v>
      </c>
      <c r="X977" s="8"/>
      <c r="Y977" s="31">
        <f t="shared" si="197"/>
        <v>-0.60636715404795083</v>
      </c>
      <c r="Z977" s="31" t="str">
        <f t="shared" si="198"/>
        <v/>
      </c>
      <c r="AA977" s="31">
        <f t="shared" si="199"/>
        <v>-0.60636715404795083</v>
      </c>
    </row>
    <row r="978" spans="1:27" x14ac:dyDescent="0.25">
      <c r="A978" s="6" t="str">
        <f t="shared" si="193"/>
        <v>fragment</v>
      </c>
      <c r="B978" s="6" t="s">
        <v>879</v>
      </c>
      <c r="C978" s="6" t="str">
        <f t="shared" si="194"/>
        <v>HC81 2203</v>
      </c>
      <c r="D978" s="6" t="s">
        <v>878</v>
      </c>
      <c r="E978" s="20">
        <v>2203</v>
      </c>
      <c r="F978" s="6" t="s">
        <v>561</v>
      </c>
      <c r="G978" s="6" t="s">
        <v>887</v>
      </c>
      <c r="H978" s="6" t="s">
        <v>977</v>
      </c>
      <c r="I978" s="6" t="s">
        <v>5</v>
      </c>
      <c r="J978" s="29"/>
      <c r="K978" s="8" t="str">
        <f t="shared" si="195"/>
        <v/>
      </c>
      <c r="L978" s="8" t="str">
        <f t="shared" si="196"/>
        <v/>
      </c>
      <c r="M978" s="8">
        <v>0.71199999999999997</v>
      </c>
      <c r="N978" s="8">
        <f>0.305+1.616+0.462</f>
        <v>2.383</v>
      </c>
      <c r="O978" s="8">
        <v>0.28100000000000003</v>
      </c>
      <c r="P978" s="8">
        <f>0.345+0.499</f>
        <v>0.84399999999999997</v>
      </c>
      <c r="Q978" s="8"/>
      <c r="R978" s="8"/>
      <c r="S978" s="8"/>
      <c r="T978" s="8"/>
      <c r="U978" s="8">
        <f>N978/M978</f>
        <v>3.3469101123595508</v>
      </c>
      <c r="V978" s="8">
        <f t="shared" si="200"/>
        <v>3.0035587188612096</v>
      </c>
      <c r="W978" s="8"/>
      <c r="X978" s="8"/>
      <c r="Y978" s="31">
        <f t="shared" si="197"/>
        <v>-0.50177579313917964</v>
      </c>
      <c r="Z978" s="31">
        <f t="shared" si="198"/>
        <v>-0.50177579313917964</v>
      </c>
      <c r="AA978" s="31" t="str">
        <f t="shared" si="199"/>
        <v/>
      </c>
    </row>
    <row r="979" spans="1:27" x14ac:dyDescent="0.25">
      <c r="A979" s="6" t="str">
        <f t="shared" si="193"/>
        <v>fragment</v>
      </c>
      <c r="B979" s="6" t="s">
        <v>879</v>
      </c>
      <c r="C979" s="6" t="str">
        <f t="shared" si="194"/>
        <v>HC81 2203</v>
      </c>
      <c r="D979" s="6" t="s">
        <v>878</v>
      </c>
      <c r="E979" s="20">
        <v>2203</v>
      </c>
      <c r="F979" s="6" t="s">
        <v>561</v>
      </c>
      <c r="G979" s="6" t="s">
        <v>888</v>
      </c>
      <c r="H979" s="6" t="s">
        <v>977</v>
      </c>
      <c r="I979" s="6" t="s">
        <v>5</v>
      </c>
      <c r="J979" s="29"/>
      <c r="K979" s="8" t="str">
        <f t="shared" si="195"/>
        <v/>
      </c>
      <c r="L979" s="8" t="str">
        <f t="shared" si="196"/>
        <v/>
      </c>
      <c r="M979" s="8"/>
      <c r="N979" s="8"/>
      <c r="O979" s="8">
        <v>0.55200000000000005</v>
      </c>
      <c r="P979" s="8">
        <f>0.554+0.681+0.317</f>
        <v>1.552</v>
      </c>
      <c r="Q979" s="8"/>
      <c r="R979" s="8"/>
      <c r="S979" s="8"/>
      <c r="T979" s="8"/>
      <c r="U979" s="8"/>
      <c r="V979" s="8">
        <f t="shared" si="200"/>
        <v>2.8115942028985508</v>
      </c>
      <c r="W979" s="8"/>
      <c r="X979" s="8"/>
      <c r="Y979" s="31">
        <f t="shared" si="197"/>
        <v>-0.44895263919297074</v>
      </c>
      <c r="Z979" s="31">
        <f t="shared" si="198"/>
        <v>-0.44895263919297074</v>
      </c>
      <c r="AA979" s="31" t="str">
        <f t="shared" si="199"/>
        <v/>
      </c>
    </row>
    <row r="980" spans="1:27" x14ac:dyDescent="0.25">
      <c r="A980" s="6" t="str">
        <f t="shared" si="193"/>
        <v>fragment</v>
      </c>
      <c r="B980" s="6" t="s">
        <v>879</v>
      </c>
      <c r="C980" s="6" t="str">
        <f t="shared" si="194"/>
        <v>HC81 2203</v>
      </c>
      <c r="D980" s="6" t="s">
        <v>878</v>
      </c>
      <c r="E980" s="20">
        <v>2203</v>
      </c>
      <c r="F980" s="6" t="s">
        <v>561</v>
      </c>
      <c r="G980" s="6" t="s">
        <v>889</v>
      </c>
      <c r="H980" s="6" t="s">
        <v>977</v>
      </c>
      <c r="I980" s="6" t="s">
        <v>5</v>
      </c>
      <c r="J980" s="29"/>
      <c r="K980" s="8" t="str">
        <f t="shared" si="195"/>
        <v/>
      </c>
      <c r="L980" s="8" t="str">
        <f t="shared" si="196"/>
        <v/>
      </c>
      <c r="M980" s="8"/>
      <c r="N980" s="8"/>
      <c r="O980" s="8"/>
      <c r="P980" s="8"/>
      <c r="Q980" s="8"/>
      <c r="R980" s="8"/>
      <c r="S980" s="8">
        <v>0.41399999999999998</v>
      </c>
      <c r="T980" s="8">
        <f>0.792+0.508</f>
        <v>1.3</v>
      </c>
      <c r="U980" s="8"/>
      <c r="V980" s="8"/>
      <c r="W980" s="8"/>
      <c r="X980" s="8">
        <f>T980/S980</f>
        <v>3.1400966183574881</v>
      </c>
      <c r="Y980" s="31">
        <f t="shared" si="197"/>
        <v>-0.49694301118593781</v>
      </c>
      <c r="Z980" s="31">
        <f t="shared" si="198"/>
        <v>-0.49694301118593781</v>
      </c>
      <c r="AA980" s="31" t="str">
        <f t="shared" si="199"/>
        <v/>
      </c>
    </row>
    <row r="981" spans="1:27" x14ac:dyDescent="0.25">
      <c r="A981" s="6" t="str">
        <f t="shared" si="193"/>
        <v>complete</v>
      </c>
      <c r="B981" s="6" t="s">
        <v>879</v>
      </c>
      <c r="C981" s="6" t="str">
        <f t="shared" si="194"/>
        <v>HC81 2203</v>
      </c>
      <c r="D981" s="6" t="s">
        <v>878</v>
      </c>
      <c r="E981" s="20">
        <v>2203</v>
      </c>
      <c r="F981" s="6" t="s">
        <v>561</v>
      </c>
      <c r="G981" s="6" t="s">
        <v>890</v>
      </c>
      <c r="H981" s="6" t="s">
        <v>977</v>
      </c>
      <c r="I981" s="6" t="s">
        <v>5</v>
      </c>
      <c r="J981" s="29">
        <f>3.669*2</f>
        <v>7.3380000000000001</v>
      </c>
      <c r="K981" s="8">
        <f t="shared" si="195"/>
        <v>0.86557770741992912</v>
      </c>
      <c r="L981" s="8">
        <f t="shared" si="196"/>
        <v>6.5982365119211819</v>
      </c>
      <c r="M981" s="8"/>
      <c r="N981" s="8"/>
      <c r="O981" s="8">
        <v>0.66100000000000003</v>
      </c>
      <c r="P981" s="8">
        <f>0.804+0.94+0.299</f>
        <v>2.0430000000000001</v>
      </c>
      <c r="Q981" s="8"/>
      <c r="R981" s="8"/>
      <c r="S981" s="8"/>
      <c r="T981" s="8"/>
      <c r="U981" s="8"/>
      <c r="V981" s="8">
        <f>P981/O981</f>
        <v>3.0907715582450832</v>
      </c>
      <c r="W981" s="8"/>
      <c r="X981" s="8"/>
      <c r="Y981" s="31">
        <f t="shared" si="197"/>
        <v>-0.49006690714680734</v>
      </c>
      <c r="Z981" s="31" t="str">
        <f t="shared" si="198"/>
        <v/>
      </c>
      <c r="AA981" s="31">
        <f t="shared" si="199"/>
        <v>-0.49006690714680734</v>
      </c>
    </row>
    <row r="982" spans="1:27" x14ac:dyDescent="0.25">
      <c r="A982" s="6" t="str">
        <f t="shared" si="193"/>
        <v>complete</v>
      </c>
      <c r="B982" s="6" t="s">
        <v>879</v>
      </c>
      <c r="C982" s="6" t="str">
        <f t="shared" si="194"/>
        <v>HC81 2203</v>
      </c>
      <c r="D982" s="6" t="s">
        <v>878</v>
      </c>
      <c r="E982" s="20">
        <v>2203</v>
      </c>
      <c r="F982" s="6" t="s">
        <v>561</v>
      </c>
      <c r="G982" s="6" t="s">
        <v>891</v>
      </c>
      <c r="H982" s="6" t="s">
        <v>977</v>
      </c>
      <c r="I982" s="6" t="s">
        <v>5</v>
      </c>
      <c r="J982" s="29">
        <v>4.9779999999999998</v>
      </c>
      <c r="K982" s="8">
        <f t="shared" si="195"/>
        <v>0.69705489227257444</v>
      </c>
      <c r="L982" s="8">
        <f t="shared" si="196"/>
        <v>6.2101983899334918</v>
      </c>
      <c r="M982" s="8"/>
      <c r="N982" s="8"/>
      <c r="O982" s="8">
        <v>0.42499999999999999</v>
      </c>
      <c r="P982" s="8">
        <f>0.729+0.503</f>
        <v>1.232</v>
      </c>
      <c r="Q982" s="8"/>
      <c r="R982" s="8"/>
      <c r="S982" s="8">
        <v>0.92800000000000005</v>
      </c>
      <c r="T982" s="8">
        <f>0.82+1.015</f>
        <v>1.835</v>
      </c>
      <c r="U982" s="8"/>
      <c r="V982" s="8">
        <f>P982/O982</f>
        <v>2.8988235294117648</v>
      </c>
      <c r="W982" s="8"/>
      <c r="X982" s="8">
        <f>T982/S982</f>
        <v>1.9773706896551724</v>
      </c>
      <c r="Y982" s="31">
        <f t="shared" si="197"/>
        <v>-0.38705099959844819</v>
      </c>
      <c r="Z982" s="31" t="str">
        <f t="shared" si="198"/>
        <v/>
      </c>
      <c r="AA982" s="31">
        <f t="shared" si="199"/>
        <v>-0.38705099959844819</v>
      </c>
    </row>
    <row r="983" spans="1:27" x14ac:dyDescent="0.25">
      <c r="A983" s="6" t="str">
        <f t="shared" si="193"/>
        <v>complete</v>
      </c>
      <c r="B983" s="6" t="s">
        <v>879</v>
      </c>
      <c r="C983" s="6" t="str">
        <f t="shared" si="194"/>
        <v>HC81 2203</v>
      </c>
      <c r="D983" s="6" t="s">
        <v>878</v>
      </c>
      <c r="E983" s="20">
        <v>2203</v>
      </c>
      <c r="F983" s="6" t="s">
        <v>561</v>
      </c>
      <c r="G983" s="6" t="s">
        <v>892</v>
      </c>
      <c r="H983" s="6" t="s">
        <v>977</v>
      </c>
      <c r="I983" s="6" t="s">
        <v>5</v>
      </c>
      <c r="J983" s="29">
        <v>0.81599999999999995</v>
      </c>
      <c r="K983" s="8">
        <f t="shared" si="195"/>
        <v>-8.8309841246138887E-2</v>
      </c>
      <c r="L983" s="8">
        <f t="shared" si="196"/>
        <v>4.401829261970061</v>
      </c>
      <c r="M983" s="8"/>
      <c r="N983" s="8"/>
      <c r="O983" s="8"/>
      <c r="P983" s="8"/>
      <c r="Q983" s="8"/>
      <c r="R983" s="8"/>
      <c r="S983" s="8">
        <v>0.151</v>
      </c>
      <c r="T983" s="8">
        <f>0.244+0.477+0.368</f>
        <v>1.089</v>
      </c>
      <c r="U983" s="8"/>
      <c r="V983" s="8"/>
      <c r="W983" s="8"/>
      <c r="X983" s="8">
        <f>T983/S983</f>
        <v>7.2119205298013247</v>
      </c>
      <c r="Y983" s="31">
        <f t="shared" si="197"/>
        <v>-0.85805093246260555</v>
      </c>
      <c r="Z983" s="31" t="str">
        <f t="shared" si="198"/>
        <v/>
      </c>
      <c r="AA983" s="31">
        <f t="shared" si="199"/>
        <v>-0.85805093246260555</v>
      </c>
    </row>
    <row r="984" spans="1:27" x14ac:dyDescent="0.25">
      <c r="A984" s="6" t="str">
        <f t="shared" si="193"/>
        <v>complete</v>
      </c>
      <c r="B984" s="6" t="s">
        <v>879</v>
      </c>
      <c r="C984" s="6" t="str">
        <f t="shared" si="194"/>
        <v>HC81 2203</v>
      </c>
      <c r="D984" s="6" t="s">
        <v>878</v>
      </c>
      <c r="E984" s="20">
        <v>2203</v>
      </c>
      <c r="F984" s="6" t="s">
        <v>561</v>
      </c>
      <c r="G984" s="6" t="s">
        <v>893</v>
      </c>
      <c r="H984" s="6" t="s">
        <v>977</v>
      </c>
      <c r="I984" s="6" t="s">
        <v>5</v>
      </c>
      <c r="J984" s="29">
        <f>1.065*2</f>
        <v>2.13</v>
      </c>
      <c r="K984" s="8">
        <f t="shared" si="195"/>
        <v>0.32837960343873768</v>
      </c>
      <c r="L984" s="8">
        <f t="shared" si="196"/>
        <v>5.3612921657094255</v>
      </c>
      <c r="M984" s="8"/>
      <c r="N984" s="8"/>
      <c r="O984" s="8">
        <v>0.16500000000000001</v>
      </c>
      <c r="P984" s="8">
        <f>0.397+0.483</f>
        <v>0.88</v>
      </c>
      <c r="Q984" s="8"/>
      <c r="R984" s="8"/>
      <c r="S984" s="8">
        <v>0.33500000000000002</v>
      </c>
      <c r="T984" s="8">
        <f>0.308+0.992+0.361+0.283</f>
        <v>1.944</v>
      </c>
      <c r="U984" s="8"/>
      <c r="V984" s="8">
        <f>P984/O984</f>
        <v>5.333333333333333</v>
      </c>
      <c r="W984" s="8"/>
      <c r="X984" s="8">
        <f>T984/S984</f>
        <v>5.8029850746268652</v>
      </c>
      <c r="Y984" s="31">
        <f t="shared" si="197"/>
        <v>-0.74571164406328228</v>
      </c>
      <c r="Z984" s="31" t="str">
        <f t="shared" si="198"/>
        <v/>
      </c>
      <c r="AA984" s="31">
        <f t="shared" si="199"/>
        <v>-0.74571164406328228</v>
      </c>
    </row>
    <row r="985" spans="1:27" x14ac:dyDescent="0.25">
      <c r="A985" s="6" t="str">
        <f t="shared" si="193"/>
        <v>fragment</v>
      </c>
      <c r="B985" s="6" t="s">
        <v>879</v>
      </c>
      <c r="C985" s="6" t="str">
        <f t="shared" si="194"/>
        <v>HC81 2203</v>
      </c>
      <c r="D985" s="6" t="s">
        <v>878</v>
      </c>
      <c r="E985" s="20">
        <v>2203</v>
      </c>
      <c r="F985" s="6" t="s">
        <v>561</v>
      </c>
      <c r="G985" s="6" t="s">
        <v>894</v>
      </c>
      <c r="H985" s="6" t="s">
        <v>977</v>
      </c>
      <c r="I985" s="6" t="s">
        <v>5</v>
      </c>
      <c r="J985" s="29"/>
      <c r="K985" s="8" t="str">
        <f t="shared" si="195"/>
        <v/>
      </c>
      <c r="L985" s="8" t="str">
        <f t="shared" si="196"/>
        <v/>
      </c>
      <c r="M985" s="8"/>
      <c r="N985" s="8"/>
      <c r="O985" s="8">
        <v>0.99</v>
      </c>
      <c r="P985" s="8">
        <f>0.293+0.701+1.004+0.515</f>
        <v>2.5129999999999999</v>
      </c>
      <c r="Q985" s="8"/>
      <c r="R985" s="8"/>
      <c r="S985" s="8"/>
      <c r="T985" s="8"/>
      <c r="U985" s="8"/>
      <c r="V985" s="8">
        <f>P985/O985</f>
        <v>2.5383838383838384</v>
      </c>
      <c r="W985" s="8"/>
      <c r="X985" s="8"/>
      <c r="Y985" s="31">
        <f t="shared" si="197"/>
        <v>-0.40455729399502605</v>
      </c>
      <c r="Z985" s="31">
        <f t="shared" si="198"/>
        <v>-0.40455729399502605</v>
      </c>
      <c r="AA985" s="31" t="str">
        <f t="shared" si="199"/>
        <v/>
      </c>
    </row>
    <row r="986" spans="1:27" x14ac:dyDescent="0.25">
      <c r="A986" s="6" t="str">
        <f t="shared" si="193"/>
        <v>complete</v>
      </c>
      <c r="B986" s="6" t="s">
        <v>879</v>
      </c>
      <c r="C986" s="6" t="str">
        <f t="shared" si="194"/>
        <v>HC81 2203</v>
      </c>
      <c r="D986" s="6" t="s">
        <v>878</v>
      </c>
      <c r="E986" s="20">
        <v>2203</v>
      </c>
      <c r="F986" s="6" t="s">
        <v>561</v>
      </c>
      <c r="G986" s="6" t="s">
        <v>896</v>
      </c>
      <c r="H986" s="6" t="s">
        <v>977</v>
      </c>
      <c r="I986" s="6" t="s">
        <v>5</v>
      </c>
      <c r="J986" s="29">
        <v>1.7430000000000001</v>
      </c>
      <c r="K986" s="8">
        <f t="shared" si="195"/>
        <v>0.24129738710999321</v>
      </c>
      <c r="L986" s="8">
        <f t="shared" si="196"/>
        <v>5.1607779525259749</v>
      </c>
      <c r="M986" s="8"/>
      <c r="N986" s="8"/>
      <c r="O986" s="8">
        <v>0.215</v>
      </c>
      <c r="P986" s="8">
        <f>0.346+0.549+0.217</f>
        <v>1.1120000000000001</v>
      </c>
      <c r="Q986" s="8"/>
      <c r="R986" s="8"/>
      <c r="S986" s="8">
        <v>0.28100000000000003</v>
      </c>
      <c r="T986" s="8">
        <f>0.327+0.738+0.32</f>
        <v>1.385</v>
      </c>
      <c r="U986" s="8"/>
      <c r="V986" s="8">
        <f>P986/O986</f>
        <v>5.1720930232558144</v>
      </c>
      <c r="W986" s="8"/>
      <c r="X986" s="8">
        <f>T986/S986</f>
        <v>4.9288256227758005</v>
      </c>
      <c r="Y986" s="31">
        <f t="shared" si="197"/>
        <v>-0.70333087759981061</v>
      </c>
      <c r="Z986" s="31" t="str">
        <f t="shared" si="198"/>
        <v/>
      </c>
      <c r="AA986" s="31">
        <f t="shared" si="199"/>
        <v>-0.70333087759981061</v>
      </c>
    </row>
    <row r="987" spans="1:27" x14ac:dyDescent="0.25">
      <c r="A987" s="6" t="str">
        <f t="shared" si="193"/>
        <v>complete</v>
      </c>
      <c r="B987" s="6" t="s">
        <v>879</v>
      </c>
      <c r="C987" s="6" t="str">
        <f t="shared" si="194"/>
        <v>HC81 2203</v>
      </c>
      <c r="D987" s="6" t="s">
        <v>878</v>
      </c>
      <c r="E987" s="20">
        <v>2203</v>
      </c>
      <c r="F987" s="6" t="s">
        <v>561</v>
      </c>
      <c r="G987" s="6" t="s">
        <v>897</v>
      </c>
      <c r="H987" s="6" t="s">
        <v>977</v>
      </c>
      <c r="I987" s="6" t="s">
        <v>5</v>
      </c>
      <c r="J987" s="29">
        <v>5.5359999999999996</v>
      </c>
      <c r="K987" s="8">
        <f t="shared" si="195"/>
        <v>0.74319608144870131</v>
      </c>
      <c r="L987" s="8">
        <f t="shared" si="196"/>
        <v>6.3164424043034595</v>
      </c>
      <c r="M987" s="8"/>
      <c r="N987" s="8"/>
      <c r="O987" s="8">
        <v>0.9</v>
      </c>
      <c r="P987" s="8">
        <f>0.674+1.39</f>
        <v>2.0640000000000001</v>
      </c>
      <c r="Q987" s="8"/>
      <c r="R987" s="8"/>
      <c r="S987" s="8">
        <v>0.68600000000000005</v>
      </c>
      <c r="T987" s="8">
        <f>1.649+0.398</f>
        <v>2.0470000000000002</v>
      </c>
      <c r="U987" s="8"/>
      <c r="V987" s="8">
        <f>P987/O987</f>
        <v>2.2933333333333334</v>
      </c>
      <c r="W987" s="8"/>
      <c r="X987" s="8">
        <f>T987/S987</f>
        <v>2.9839650145772594</v>
      </c>
      <c r="Y987" s="31">
        <f t="shared" si="197"/>
        <v>-0.42138165170408354</v>
      </c>
      <c r="Z987" s="31" t="str">
        <f t="shared" si="198"/>
        <v/>
      </c>
      <c r="AA987" s="31">
        <f t="shared" si="199"/>
        <v>-0.42138165170408354</v>
      </c>
    </row>
    <row r="988" spans="1:27" x14ac:dyDescent="0.25">
      <c r="A988" s="6" t="str">
        <f t="shared" si="193"/>
        <v>fragment</v>
      </c>
      <c r="B988" s="6" t="s">
        <v>879</v>
      </c>
      <c r="C988" s="6" t="str">
        <f t="shared" si="194"/>
        <v>HC81 2203</v>
      </c>
      <c r="D988" s="6" t="s">
        <v>878</v>
      </c>
      <c r="E988" s="20">
        <v>2203</v>
      </c>
      <c r="F988" s="6" t="s">
        <v>561</v>
      </c>
      <c r="G988" s="6" t="s">
        <v>898</v>
      </c>
      <c r="H988" s="6" t="s">
        <v>977</v>
      </c>
      <c r="I988" s="6" t="s">
        <v>5</v>
      </c>
      <c r="J988" s="29"/>
      <c r="K988" s="8" t="str">
        <f t="shared" si="195"/>
        <v/>
      </c>
      <c r="L988" s="8" t="str">
        <f t="shared" si="196"/>
        <v/>
      </c>
      <c r="M988" s="8"/>
      <c r="N988" s="8"/>
      <c r="O988" s="8"/>
      <c r="P988" s="8"/>
      <c r="Q988" s="8">
        <v>0.438</v>
      </c>
      <c r="R988" s="8">
        <f>0.479+0.696+0.283</f>
        <v>1.4579999999999997</v>
      </c>
      <c r="S988" s="8"/>
      <c r="T988" s="8"/>
      <c r="U988" s="8"/>
      <c r="V988" s="8"/>
      <c r="W988" s="8">
        <f>R988/Q988</f>
        <v>3.3287671232876708</v>
      </c>
      <c r="X988" s="8"/>
      <c r="Y988" s="31">
        <f t="shared" si="197"/>
        <v>-0.52228341347785623</v>
      </c>
      <c r="Z988" s="31">
        <f t="shared" si="198"/>
        <v>-0.52228341347785623</v>
      </c>
      <c r="AA988" s="31" t="str">
        <f t="shared" si="199"/>
        <v/>
      </c>
    </row>
    <row r="989" spans="1:27" x14ac:dyDescent="0.25">
      <c r="A989" s="6" t="str">
        <f t="shared" si="193"/>
        <v>fragment</v>
      </c>
      <c r="B989" s="6" t="s">
        <v>879</v>
      </c>
      <c r="C989" s="6" t="str">
        <f t="shared" si="194"/>
        <v>HC81 2203</v>
      </c>
      <c r="D989" s="6" t="s">
        <v>878</v>
      </c>
      <c r="E989" s="20">
        <v>2203</v>
      </c>
      <c r="F989" s="6" t="s">
        <v>561</v>
      </c>
      <c r="G989" s="6" t="s">
        <v>899</v>
      </c>
      <c r="H989" s="6" t="s">
        <v>977</v>
      </c>
      <c r="I989" s="6" t="s">
        <v>5</v>
      </c>
      <c r="J989" s="29"/>
      <c r="K989" s="8" t="str">
        <f t="shared" si="195"/>
        <v/>
      </c>
      <c r="L989" s="8" t="str">
        <f t="shared" si="196"/>
        <v/>
      </c>
      <c r="M989" s="8"/>
      <c r="N989" s="8"/>
      <c r="O989" s="8">
        <v>0.60499999999999998</v>
      </c>
      <c r="P989" s="8">
        <f>0.613+0.864</f>
        <v>1.4769999999999999</v>
      </c>
      <c r="Q989" s="8"/>
      <c r="R989" s="8"/>
      <c r="S989" s="8"/>
      <c r="T989" s="8"/>
      <c r="U989" s="8"/>
      <c r="V989" s="8">
        <f>P989/O989</f>
        <v>2.4413223140495868</v>
      </c>
      <c r="W989" s="8"/>
      <c r="X989" s="8"/>
      <c r="Y989" s="31">
        <f t="shared" si="197"/>
        <v>-0.38762512065948063</v>
      </c>
      <c r="Z989" s="31">
        <f t="shared" si="198"/>
        <v>-0.38762512065948063</v>
      </c>
      <c r="AA989" s="31" t="str">
        <f t="shared" si="199"/>
        <v/>
      </c>
    </row>
    <row r="990" spans="1:27" x14ac:dyDescent="0.25">
      <c r="A990" s="6" t="str">
        <f t="shared" si="193"/>
        <v>complete</v>
      </c>
      <c r="B990" s="6" t="s">
        <v>601</v>
      </c>
      <c r="C990" s="6" t="str">
        <f t="shared" si="194"/>
        <v>HC81 2203</v>
      </c>
      <c r="D990" s="6" t="s">
        <v>878</v>
      </c>
      <c r="E990" s="20">
        <v>2203</v>
      </c>
      <c r="F990" s="6" t="s">
        <v>561</v>
      </c>
      <c r="G990" s="6" t="s">
        <v>881</v>
      </c>
      <c r="H990" s="6" t="s">
        <v>977</v>
      </c>
      <c r="I990" s="6" t="s">
        <v>5</v>
      </c>
      <c r="J990" s="29">
        <v>2.718</v>
      </c>
      <c r="K990" s="8">
        <f t="shared" si="195"/>
        <v>0.4342494523964755</v>
      </c>
      <c r="L990" s="8">
        <f t="shared" si="196"/>
        <v>5.6050665017170438</v>
      </c>
      <c r="M990" s="8"/>
      <c r="N990" s="8"/>
      <c r="O990" s="8">
        <v>0.75700000000000001</v>
      </c>
      <c r="P990" s="8">
        <f>0.901+0.851+0.824+0.165</f>
        <v>2.7410000000000001</v>
      </c>
      <c r="Q990" s="8"/>
      <c r="R990" s="8"/>
      <c r="S990" s="8"/>
      <c r="T990" s="8"/>
      <c r="U990" s="8"/>
      <c r="V990" s="8">
        <f>P990/O990</f>
        <v>3.620871862615588</v>
      </c>
      <c r="W990" s="8"/>
      <c r="X990" s="8"/>
      <c r="Y990" s="31">
        <f t="shared" si="197"/>
        <v>-0.55881315603942572</v>
      </c>
      <c r="Z990" s="31" t="str">
        <f t="shared" si="198"/>
        <v/>
      </c>
      <c r="AA990" s="31">
        <f t="shared" si="199"/>
        <v>-0.55881315603942572</v>
      </c>
    </row>
    <row r="991" spans="1:27" x14ac:dyDescent="0.25">
      <c r="A991" s="6" t="str">
        <f t="shared" si="193"/>
        <v>complete</v>
      </c>
      <c r="B991" s="6" t="s">
        <v>601</v>
      </c>
      <c r="C991" s="6" t="str">
        <f t="shared" si="194"/>
        <v>HC81 2203</v>
      </c>
      <c r="D991" s="6" t="s">
        <v>878</v>
      </c>
      <c r="E991" s="20">
        <v>2203</v>
      </c>
      <c r="F991" s="6" t="s">
        <v>561</v>
      </c>
      <c r="G991" s="6" t="s">
        <v>895</v>
      </c>
      <c r="H991" s="6" t="s">
        <v>977</v>
      </c>
      <c r="I991" s="6" t="s">
        <v>5</v>
      </c>
      <c r="J991" s="29">
        <v>2.6840000000000002</v>
      </c>
      <c r="K991" s="8">
        <f t="shared" si="195"/>
        <v>0.42878251149695451</v>
      </c>
      <c r="L991" s="8">
        <f t="shared" si="196"/>
        <v>5.5924784050975269</v>
      </c>
      <c r="M991" s="8">
        <v>1.179</v>
      </c>
      <c r="N991" s="8">
        <f>1.325+0.987</f>
        <v>2.3119999999999998</v>
      </c>
      <c r="O991" s="8">
        <v>1.5350000000000001</v>
      </c>
      <c r="P991" s="8">
        <f>1.316+2.183</f>
        <v>3.4989999999999997</v>
      </c>
      <c r="Q991" s="8">
        <v>1.1379999999999999</v>
      </c>
      <c r="R991" s="8">
        <f>1.147+0.707</f>
        <v>1.8540000000000001</v>
      </c>
      <c r="S991" s="8"/>
      <c r="T991" s="8"/>
      <c r="U991" s="8">
        <f>N991/M991</f>
        <v>1.9609838846480065</v>
      </c>
      <c r="V991" s="8">
        <f>P991/O991</f>
        <v>2.2794788273615629</v>
      </c>
      <c r="W991" s="8">
        <f>R991/Q991</f>
        <v>1.6291739894551847</v>
      </c>
      <c r="X991" s="8"/>
      <c r="Y991" s="31">
        <f t="shared" si="197"/>
        <v>-0.2914899668973121</v>
      </c>
      <c r="Z991" s="31" t="str">
        <f t="shared" si="198"/>
        <v/>
      </c>
      <c r="AA991" s="31">
        <f t="shared" si="199"/>
        <v>-0.2914899668973121</v>
      </c>
    </row>
    <row r="992" spans="1:27" x14ac:dyDescent="0.25">
      <c r="A992" s="6" t="str">
        <f t="shared" si="193"/>
        <v>fragment</v>
      </c>
      <c r="B992" s="6" t="s">
        <v>901</v>
      </c>
      <c r="C992" s="6" t="str">
        <f t="shared" si="194"/>
        <v xml:space="preserve">HC86 </v>
      </c>
      <c r="D992" s="22" t="s">
        <v>900</v>
      </c>
      <c r="E992" s="20"/>
      <c r="F992" s="22" t="s">
        <v>967</v>
      </c>
      <c r="G992" s="22" t="s">
        <v>1171</v>
      </c>
      <c r="H992" s="22"/>
      <c r="I992" s="6" t="s">
        <v>20</v>
      </c>
      <c r="J992" s="30"/>
      <c r="K992" s="8" t="str">
        <f t="shared" si="195"/>
        <v/>
      </c>
      <c r="L992" s="8" t="str">
        <f t="shared" si="196"/>
        <v/>
      </c>
      <c r="M992" s="23">
        <v>2.4780000000000002</v>
      </c>
      <c r="N992" s="23">
        <f>1.424+1.933+0.249</f>
        <v>3.6060000000000003</v>
      </c>
      <c r="O992" s="23">
        <v>4.3259999999999996</v>
      </c>
      <c r="P992" s="23">
        <f>1.211+3.13+1.159</f>
        <v>5.5</v>
      </c>
      <c r="Q992" s="23">
        <v>5.1429999999999998</v>
      </c>
      <c r="R992" s="23">
        <f>0.986+3.097+1.288</f>
        <v>5.3710000000000004</v>
      </c>
      <c r="S992" s="8"/>
      <c r="T992" s="8"/>
      <c r="U992" s="8">
        <v>1.4552058111380146</v>
      </c>
      <c r="V992" s="8">
        <v>1.2713823393435044</v>
      </c>
      <c r="W992" s="8">
        <v>1.0443321018860587</v>
      </c>
      <c r="X992" s="8"/>
      <c r="Y992" s="31">
        <f t="shared" si="197"/>
        <v>-9.9326093299078017E-2</v>
      </c>
      <c r="Z992" s="31">
        <f t="shared" si="198"/>
        <v>-9.9326093299078017E-2</v>
      </c>
      <c r="AA992" s="31" t="str">
        <f t="shared" si="199"/>
        <v/>
      </c>
    </row>
    <row r="993" spans="1:27" x14ac:dyDescent="0.25">
      <c r="A993" s="6" t="str">
        <f t="shared" si="193"/>
        <v>complete</v>
      </c>
      <c r="B993" s="6" t="s">
        <v>901</v>
      </c>
      <c r="C993" s="6" t="str">
        <f t="shared" si="194"/>
        <v>HC86  87112</v>
      </c>
      <c r="D993" s="22" t="s">
        <v>966</v>
      </c>
      <c r="E993" s="20">
        <v>87112</v>
      </c>
      <c r="F993" s="22"/>
      <c r="G993" s="22" t="s">
        <v>1156</v>
      </c>
      <c r="H993" s="22" t="s">
        <v>977</v>
      </c>
      <c r="I993" s="6" t="s">
        <v>20</v>
      </c>
      <c r="J993" s="30">
        <f>31.795*2</f>
        <v>63.59</v>
      </c>
      <c r="K993" s="8">
        <f t="shared" si="195"/>
        <v>1.8033888249836134</v>
      </c>
      <c r="L993" s="8">
        <f t="shared" si="196"/>
        <v>8.7576264112674078</v>
      </c>
      <c r="M993" s="23">
        <v>2.524</v>
      </c>
      <c r="N993" s="23">
        <f>1.599+1.562+0.607+0.442</f>
        <v>4.21</v>
      </c>
      <c r="O993" s="23">
        <v>4.3540000000000001</v>
      </c>
      <c r="P993" s="23">
        <f>0.558+3.049+0.89</f>
        <v>4.4969999999999999</v>
      </c>
      <c r="Q993" s="23">
        <v>4.5990000000000002</v>
      </c>
      <c r="R993" s="23">
        <f>0.819+2.775+2.096+0.478</f>
        <v>6.1679999999999993</v>
      </c>
      <c r="S993" s="8"/>
      <c r="T993" s="8"/>
      <c r="U993" s="8">
        <v>1.6679873217115688</v>
      </c>
      <c r="V993" s="8">
        <v>1.0328433624253559</v>
      </c>
      <c r="W993" s="8">
        <v>1.3411611219830395</v>
      </c>
      <c r="X993" s="8"/>
      <c r="Y993" s="31">
        <f t="shared" si="197"/>
        <v>-0.12947417406365738</v>
      </c>
      <c r="Z993" s="31" t="str">
        <f t="shared" si="198"/>
        <v/>
      </c>
      <c r="AA993" s="31">
        <f t="shared" si="199"/>
        <v>-0.12947417406365738</v>
      </c>
    </row>
    <row r="994" spans="1:27" x14ac:dyDescent="0.25">
      <c r="A994" s="6" t="str">
        <f t="shared" si="193"/>
        <v>complete</v>
      </c>
      <c r="B994" s="6" t="s">
        <v>901</v>
      </c>
      <c r="C994" s="6" t="str">
        <f t="shared" si="194"/>
        <v>HC86 1489</v>
      </c>
      <c r="D994" s="6" t="s">
        <v>900</v>
      </c>
      <c r="E994" s="20">
        <v>1489</v>
      </c>
      <c r="F994" s="6" t="s">
        <v>90</v>
      </c>
      <c r="G994" s="6" t="s">
        <v>913</v>
      </c>
      <c r="H994" s="6" t="s">
        <v>977</v>
      </c>
      <c r="I994" s="6" t="s">
        <v>20</v>
      </c>
      <c r="J994" s="29">
        <v>54.668999999999997</v>
      </c>
      <c r="K994" s="8">
        <f t="shared" si="195"/>
        <v>1.7377411298920342</v>
      </c>
      <c r="L994" s="8">
        <f t="shared" si="196"/>
        <v>8.6064670071601199</v>
      </c>
      <c r="M994" s="8">
        <v>2.7730000000000001</v>
      </c>
      <c r="N994" s="8">
        <f>1.113 + 2.086 + 1.57</f>
        <v>4.7690000000000001</v>
      </c>
      <c r="O994" s="8">
        <v>9.1430000000000007</v>
      </c>
      <c r="P994" s="8">
        <f>0.878 + 2.131 + 3.293 + 0.738 + 2.847 + 2.686 + 0.75 + 1.087 + 0.379</f>
        <v>14.788999999999998</v>
      </c>
      <c r="Q994" s="8">
        <v>4.6920000000000002</v>
      </c>
      <c r="R994" s="8">
        <f>2.179 + 0.923 + 2.245 + 0.717 + 1.339 + 0.775</f>
        <v>8.177999999999999</v>
      </c>
      <c r="S994" s="8"/>
      <c r="T994" s="8"/>
      <c r="U994" s="8">
        <f>N994/M994</f>
        <v>1.719798052650559</v>
      </c>
      <c r="V994" s="8">
        <f>P994/O994</f>
        <v>1.6175216012249805</v>
      </c>
      <c r="W994" s="8">
        <f>R994/Q994</f>
        <v>1.7429667519181582</v>
      </c>
      <c r="X994" s="8"/>
      <c r="Y994" s="31">
        <f t="shared" si="197"/>
        <v>-0.22876694200315015</v>
      </c>
      <c r="Z994" s="31" t="str">
        <f t="shared" si="198"/>
        <v/>
      </c>
      <c r="AA994" s="31">
        <f t="shared" si="199"/>
        <v>-0.22876694200315015</v>
      </c>
    </row>
    <row r="995" spans="1:27" x14ac:dyDescent="0.25">
      <c r="A995" s="6" t="str">
        <f t="shared" si="193"/>
        <v>complete</v>
      </c>
      <c r="B995" s="6" t="s">
        <v>901</v>
      </c>
      <c r="C995" s="6" t="str">
        <f t="shared" si="194"/>
        <v>HC86 1851</v>
      </c>
      <c r="D995" s="6" t="s">
        <v>900</v>
      </c>
      <c r="E995" s="20">
        <v>1851</v>
      </c>
      <c r="F995" s="6" t="s">
        <v>563</v>
      </c>
      <c r="G995" s="6" t="s">
        <v>914</v>
      </c>
      <c r="H995" s="6" t="s">
        <v>977</v>
      </c>
      <c r="I995" s="8" t="s">
        <v>20</v>
      </c>
      <c r="J995" s="29">
        <f>2*47.912</f>
        <v>95.823999999999998</v>
      </c>
      <c r="K995" s="8">
        <f t="shared" si="195"/>
        <v>1.9814742957401335</v>
      </c>
      <c r="L995" s="8">
        <f t="shared" si="196"/>
        <v>9.167683361510198</v>
      </c>
      <c r="M995" s="8">
        <v>2.141</v>
      </c>
      <c r="N995" s="8">
        <f>1.347+0.863+1.255</f>
        <v>3.4649999999999999</v>
      </c>
      <c r="O995" s="8">
        <v>10.848000000000001</v>
      </c>
      <c r="P995" s="8">
        <f>0.812+1.513+3.566+1.588+2.989+3.267</f>
        <v>13.734999999999999</v>
      </c>
      <c r="Q995" s="8">
        <v>2.028</v>
      </c>
      <c r="R995" s="8">
        <f>0.941+1.213+1.098</f>
        <v>3.2519999999999998</v>
      </c>
      <c r="S995" s="8"/>
      <c r="T995" s="8"/>
      <c r="U995" s="8">
        <f>N995/M995</f>
        <v>1.6184026156001867</v>
      </c>
      <c r="V995" s="8">
        <f>P995/O995</f>
        <v>1.266132005899705</v>
      </c>
      <c r="W995" s="8">
        <f>R995/Q995</f>
        <v>1.6035502958579881</v>
      </c>
      <c r="X995" s="8"/>
      <c r="Y995" s="31">
        <f t="shared" si="197"/>
        <v>-0.17493981072787546</v>
      </c>
      <c r="Z995" s="31" t="str">
        <f t="shared" si="198"/>
        <v/>
      </c>
      <c r="AA995" s="31">
        <f t="shared" si="199"/>
        <v>-0.17493981072787546</v>
      </c>
    </row>
    <row r="996" spans="1:27" x14ac:dyDescent="0.25">
      <c r="A996" s="6" t="str">
        <f t="shared" si="193"/>
        <v>complete</v>
      </c>
      <c r="B996" s="6" t="s">
        <v>901</v>
      </c>
      <c r="C996" s="6" t="str">
        <f t="shared" si="194"/>
        <v>HC86 425</v>
      </c>
      <c r="D996" s="6" t="s">
        <v>900</v>
      </c>
      <c r="E996" s="20">
        <v>425</v>
      </c>
      <c r="G996" s="6" t="s">
        <v>916</v>
      </c>
      <c r="I996" s="8" t="s">
        <v>20</v>
      </c>
      <c r="J996" s="29">
        <f>2*24.12821</f>
        <v>48.256419999999999</v>
      </c>
      <c r="K996" s="8">
        <f t="shared" si="195"/>
        <v>1.6835550997543705</v>
      </c>
      <c r="L996" s="8">
        <f t="shared" si="196"/>
        <v>8.4816990619166077</v>
      </c>
      <c r="M996" s="8"/>
      <c r="N996" s="8"/>
      <c r="O996" s="8">
        <v>9.4719999999999995</v>
      </c>
      <c r="P996" s="8">
        <f>1.48+3.156+0.942+0.47+3.092+3.25+0.203+0.863+1.379+0.55</f>
        <v>15.385</v>
      </c>
      <c r="Q996" s="8"/>
      <c r="R996" s="8"/>
      <c r="S996" s="8"/>
      <c r="T996" s="8"/>
      <c r="U996" s="8"/>
      <c r="V996" s="8">
        <f>P996/O996</f>
        <v>1.6242609797297298</v>
      </c>
      <c r="W996" s="8"/>
      <c r="X996" s="8"/>
      <c r="Y996" s="31">
        <f t="shared" si="197"/>
        <v>-0.21065581120463273</v>
      </c>
      <c r="Z996" s="31" t="str">
        <f t="shared" si="198"/>
        <v/>
      </c>
      <c r="AA996" s="31">
        <f t="shared" si="199"/>
        <v>-0.21065581120463273</v>
      </c>
    </row>
    <row r="997" spans="1:27" x14ac:dyDescent="0.25">
      <c r="A997" s="6" t="str">
        <f t="shared" si="193"/>
        <v>fragment</v>
      </c>
      <c r="B997" s="6" t="s">
        <v>901</v>
      </c>
      <c r="C997" s="6" t="str">
        <f t="shared" si="194"/>
        <v>HC86 425</v>
      </c>
      <c r="D997" s="22" t="s">
        <v>900</v>
      </c>
      <c r="E997" s="22">
        <v>425</v>
      </c>
      <c r="F997" s="22"/>
      <c r="G997" s="22" t="s">
        <v>1157</v>
      </c>
      <c r="H997" s="22" t="s">
        <v>979</v>
      </c>
      <c r="I997" s="6" t="s">
        <v>20</v>
      </c>
      <c r="J997" s="30"/>
      <c r="K997" s="8" t="str">
        <f t="shared" si="195"/>
        <v/>
      </c>
      <c r="L997" s="8" t="str">
        <f t="shared" si="196"/>
        <v/>
      </c>
      <c r="M997" s="23">
        <v>1.48</v>
      </c>
      <c r="N997" s="23">
        <f>1.486+0.583</f>
        <v>2.069</v>
      </c>
      <c r="O997" s="23">
        <v>2.02</v>
      </c>
      <c r="P997" s="23">
        <f>0.518+1.761+0.486</f>
        <v>2.7649999999999997</v>
      </c>
      <c r="Q997" s="23">
        <v>1.7929999999999999</v>
      </c>
      <c r="R997" s="23">
        <f>0.921+1.409+0.717</f>
        <v>3.0470000000000002</v>
      </c>
      <c r="S997" s="8"/>
      <c r="T997" s="8"/>
      <c r="U997" s="8">
        <v>1.3979729729729728</v>
      </c>
      <c r="V997" s="8">
        <v>1.3688118811881187</v>
      </c>
      <c r="W997" s="8">
        <v>1.6993865030674848</v>
      </c>
      <c r="X997" s="8"/>
      <c r="Y997" s="31">
        <f t="shared" si="197"/>
        <v>-0.17281412726500214</v>
      </c>
      <c r="Z997" s="31">
        <f t="shared" si="198"/>
        <v>-0.17281412726500214</v>
      </c>
      <c r="AA997" s="31" t="str">
        <f t="shared" si="199"/>
        <v/>
      </c>
    </row>
    <row r="998" spans="1:27" x14ac:dyDescent="0.25">
      <c r="A998" s="6" t="str">
        <f t="shared" si="193"/>
        <v>complete</v>
      </c>
      <c r="B998" s="6" t="s">
        <v>901</v>
      </c>
      <c r="C998" s="6" t="str">
        <f t="shared" si="194"/>
        <v>HC86 425</v>
      </c>
      <c r="D998" s="22" t="s">
        <v>900</v>
      </c>
      <c r="E998" s="22">
        <v>425</v>
      </c>
      <c r="F998" s="22"/>
      <c r="G998" s="22" t="s">
        <v>1158</v>
      </c>
      <c r="H998" s="22" t="s">
        <v>979</v>
      </c>
      <c r="I998" s="6" t="s">
        <v>20</v>
      </c>
      <c r="J998" s="30">
        <f>11.795*2</f>
        <v>23.59</v>
      </c>
      <c r="K998" s="8">
        <f t="shared" si="195"/>
        <v>1.3727279408855955</v>
      </c>
      <c r="L998" s="8">
        <f t="shared" si="196"/>
        <v>7.765993079407675</v>
      </c>
      <c r="M998" s="23">
        <v>1.407</v>
      </c>
      <c r="N998" s="23">
        <f>0.719+1.343+0.781</f>
        <v>2.843</v>
      </c>
      <c r="O998" s="23">
        <v>1.6850000000000001</v>
      </c>
      <c r="P998" s="23">
        <f>1.629+0.591+0.88</f>
        <v>3.0999999999999996</v>
      </c>
      <c r="Q998" s="23">
        <v>1.8029999999999999</v>
      </c>
      <c r="R998" s="23">
        <f>1.167+1.232+0.745</f>
        <v>3.1440000000000001</v>
      </c>
      <c r="S998" s="8"/>
      <c r="T998" s="8"/>
      <c r="U998" s="8">
        <v>2.0206112295664536</v>
      </c>
      <c r="V998" s="8">
        <v>1.8397626112759642</v>
      </c>
      <c r="W998" s="8">
        <v>1.7437603993344428</v>
      </c>
      <c r="X998" s="8"/>
      <c r="Y998" s="31">
        <f t="shared" si="197"/>
        <v>-0.27138727501145593</v>
      </c>
      <c r="Z998" s="31" t="str">
        <f t="shared" si="198"/>
        <v/>
      </c>
      <c r="AA998" s="31">
        <f t="shared" si="199"/>
        <v>-0.27138727501145593</v>
      </c>
    </row>
    <row r="999" spans="1:27" x14ac:dyDescent="0.25">
      <c r="A999" s="6" t="str">
        <f t="shared" si="193"/>
        <v>complete</v>
      </c>
      <c r="B999" s="6" t="s">
        <v>901</v>
      </c>
      <c r="C999" s="6" t="str">
        <f t="shared" si="194"/>
        <v>HC86 425</v>
      </c>
      <c r="D999" s="22" t="s">
        <v>900</v>
      </c>
      <c r="E999" s="22">
        <v>425</v>
      </c>
      <c r="F999" s="22"/>
      <c r="G999" s="22" t="s">
        <v>916</v>
      </c>
      <c r="H999" s="22" t="s">
        <v>979</v>
      </c>
      <c r="I999" s="6" t="s">
        <v>20</v>
      </c>
      <c r="J999" s="30">
        <f>24.023*2</f>
        <v>48.045999999999999</v>
      </c>
      <c r="K999" s="8">
        <f t="shared" si="195"/>
        <v>1.6816572369527698</v>
      </c>
      <c r="L999" s="8">
        <f t="shared" si="196"/>
        <v>8.477329071321094</v>
      </c>
      <c r="M999" s="23">
        <v>3.4870000000000001</v>
      </c>
      <c r="N999" s="23">
        <f>0.165+2.051+2.173+0.274</f>
        <v>4.6630000000000003</v>
      </c>
      <c r="O999" s="23">
        <v>2.8239999999999998</v>
      </c>
      <c r="P999" s="23">
        <f>0.986+2.407+1.342+0.19</f>
        <v>4.9249999999999998</v>
      </c>
      <c r="Q999" s="23">
        <v>3.15</v>
      </c>
      <c r="R999" s="23">
        <f>1.151+1.825+1.424</f>
        <v>4.4000000000000004</v>
      </c>
      <c r="S999" s="8"/>
      <c r="T999" s="8"/>
      <c r="U999" s="8">
        <v>1.3372526527100661</v>
      </c>
      <c r="V999" s="8">
        <v>1.7439801699716715</v>
      </c>
      <c r="W999" s="8">
        <v>1.396825396825397</v>
      </c>
      <c r="X999" s="8"/>
      <c r="Y999" s="31">
        <f t="shared" si="197"/>
        <v>-0.1739684808490134</v>
      </c>
      <c r="Z999" s="31" t="str">
        <f t="shared" si="198"/>
        <v/>
      </c>
      <c r="AA999" s="31">
        <f t="shared" si="199"/>
        <v>-0.1739684808490134</v>
      </c>
    </row>
    <row r="1000" spans="1:27" x14ac:dyDescent="0.25">
      <c r="A1000" s="6" t="str">
        <f t="shared" si="193"/>
        <v>complete</v>
      </c>
      <c r="B1000" s="6" t="s">
        <v>901</v>
      </c>
      <c r="C1000" s="6" t="str">
        <f t="shared" si="194"/>
        <v>HC86 430</v>
      </c>
      <c r="D1000" s="6" t="s">
        <v>900</v>
      </c>
      <c r="E1000" s="20">
        <v>430</v>
      </c>
      <c r="G1000" s="6" t="s">
        <v>902</v>
      </c>
      <c r="H1000" s="6" t="s">
        <v>977</v>
      </c>
      <c r="I1000" s="6" t="s">
        <v>20</v>
      </c>
      <c r="J1000" s="29">
        <v>97.072999999999993</v>
      </c>
      <c r="K1000" s="8">
        <f t="shared" si="195"/>
        <v>1.9870984515187646</v>
      </c>
      <c r="L1000" s="8">
        <f t="shared" si="196"/>
        <v>9.1806334587667511</v>
      </c>
      <c r="M1000" s="8">
        <v>1.754</v>
      </c>
      <c r="N1000" s="8">
        <f>0.307+0.718+0.718+0.787+0.402</f>
        <v>2.9319999999999999</v>
      </c>
      <c r="O1000" s="8">
        <v>6.3780000000000001</v>
      </c>
      <c r="P1000" s="8">
        <f>1.155+2.574+1.809</f>
        <v>5.5380000000000003</v>
      </c>
      <c r="Q1000" s="8">
        <v>2.6390000000000002</v>
      </c>
      <c r="R1000" s="8">
        <f>1.073+1.207</f>
        <v>2.2800000000000002</v>
      </c>
      <c r="S1000" s="8">
        <v>11.144</v>
      </c>
      <c r="T1000" s="8">
        <f>1.307+3.102+3.383+1.955</f>
        <v>9.7469999999999999</v>
      </c>
      <c r="U1000" s="8">
        <f>N1000/M1000</f>
        <v>1.6716077537058152</v>
      </c>
      <c r="V1000" s="8">
        <f>P1000/O1000</f>
        <v>0.86829727187206018</v>
      </c>
      <c r="W1000" s="8">
        <f>R1000/Q1000</f>
        <v>0.86396362258431225</v>
      </c>
      <c r="X1000" s="8">
        <f>T1000/S1000</f>
        <v>0.87464106245513273</v>
      </c>
      <c r="Y1000" s="31">
        <f t="shared" si="197"/>
        <v>-2.9232530684560575E-2</v>
      </c>
      <c r="Z1000" s="31" t="str">
        <f t="shared" si="198"/>
        <v/>
      </c>
      <c r="AA1000" s="31">
        <f t="shared" si="199"/>
        <v>-2.9232530684560575E-2</v>
      </c>
    </row>
    <row r="1001" spans="1:27" x14ac:dyDescent="0.25">
      <c r="A1001" s="6" t="str">
        <f t="shared" si="193"/>
        <v>complete</v>
      </c>
      <c r="B1001" s="6" t="s">
        <v>901</v>
      </c>
      <c r="C1001" s="6" t="str">
        <f t="shared" si="194"/>
        <v>HC86 430</v>
      </c>
      <c r="D1001" s="6" t="s">
        <v>900</v>
      </c>
      <c r="E1001" s="20">
        <v>430</v>
      </c>
      <c r="G1001" s="6" t="s">
        <v>903</v>
      </c>
      <c r="H1001" s="6" t="s">
        <v>977</v>
      </c>
      <c r="I1001" s="6" t="s">
        <v>20</v>
      </c>
      <c r="J1001" s="29">
        <v>136.47</v>
      </c>
      <c r="K1001" s="8">
        <f t="shared" si="195"/>
        <v>2.1350371915496176</v>
      </c>
      <c r="L1001" s="8">
        <f t="shared" si="196"/>
        <v>9.5212749962381142</v>
      </c>
      <c r="M1001" s="8">
        <v>8.3239999999999998</v>
      </c>
      <c r="N1001" s="8">
        <f>2.576+4.559+1.25</f>
        <v>8.3849999999999998</v>
      </c>
      <c r="O1001" s="8">
        <v>9.532</v>
      </c>
      <c r="P1001" s="8">
        <f>2.102+2.666+1.156</f>
        <v>5.9239999999999995</v>
      </c>
      <c r="Q1001" s="8">
        <v>7.2489999999999997</v>
      </c>
      <c r="R1001" s="8">
        <f>0.899+2.327+1.842+1.57</f>
        <v>6.6379999999999999</v>
      </c>
      <c r="S1001" s="8"/>
      <c r="T1001" s="8"/>
      <c r="U1001" s="8">
        <f>N1001/M1001</f>
        <v>1.0073282075925036</v>
      </c>
      <c r="V1001" s="8">
        <f>P1001/O1001</f>
        <v>0.62148552245069233</v>
      </c>
      <c r="W1001" s="8">
        <f>R1001/Q1001</f>
        <v>0.91571251207063042</v>
      </c>
      <c r="X1001" s="8"/>
      <c r="Y1001" s="31">
        <f t="shared" si="197"/>
        <v>7.1514320537482204E-2</v>
      </c>
      <c r="Z1001" s="31" t="str">
        <f t="shared" si="198"/>
        <v/>
      </c>
      <c r="AA1001" s="31">
        <f t="shared" si="199"/>
        <v>7.1514320537482204E-2</v>
      </c>
    </row>
    <row r="1002" spans="1:27" x14ac:dyDescent="0.25">
      <c r="A1002" s="6" t="str">
        <f t="shared" si="193"/>
        <v>fragment</v>
      </c>
      <c r="B1002" s="6" t="s">
        <v>901</v>
      </c>
      <c r="C1002" s="6" t="str">
        <f t="shared" si="194"/>
        <v>HC86 430</v>
      </c>
      <c r="D1002" s="6" t="s">
        <v>900</v>
      </c>
      <c r="E1002" s="20">
        <v>430</v>
      </c>
      <c r="G1002" s="6" t="s">
        <v>904</v>
      </c>
      <c r="H1002" s="6" t="s">
        <v>977</v>
      </c>
      <c r="I1002" s="6" t="s">
        <v>20</v>
      </c>
      <c r="J1002" s="29"/>
      <c r="K1002" s="8" t="str">
        <f t="shared" si="195"/>
        <v/>
      </c>
      <c r="L1002" s="8" t="str">
        <f t="shared" si="196"/>
        <v/>
      </c>
      <c r="M1002" s="8">
        <v>8.1780000000000008</v>
      </c>
      <c r="N1002" s="8">
        <f>0.793+2.946+2.649+0.993</f>
        <v>7.3810000000000002</v>
      </c>
      <c r="O1002" s="8"/>
      <c r="P1002" s="8"/>
      <c r="Q1002" s="8"/>
      <c r="R1002" s="8"/>
      <c r="S1002" s="8">
        <v>6.7590000000000003</v>
      </c>
      <c r="T1002" s="8">
        <f>0.678+2.046+2.078+1.432</f>
        <v>6.234</v>
      </c>
      <c r="U1002" s="8">
        <f>N1002/M1002</f>
        <v>0.90254340914649056</v>
      </c>
      <c r="V1002" s="8"/>
      <c r="W1002" s="8"/>
      <c r="X1002" s="8">
        <f>T1002/S1002</f>
        <v>0.92232578783843755</v>
      </c>
      <c r="Y1002" s="31">
        <f t="shared" si="197"/>
        <v>3.9798255125471846E-2</v>
      </c>
      <c r="Z1002" s="31">
        <f t="shared" si="198"/>
        <v>3.9798255125471846E-2</v>
      </c>
      <c r="AA1002" s="31" t="str">
        <f t="shared" si="199"/>
        <v/>
      </c>
    </row>
    <row r="1003" spans="1:27" x14ac:dyDescent="0.25">
      <c r="A1003" s="6" t="str">
        <f t="shared" si="193"/>
        <v>fragment</v>
      </c>
      <c r="B1003" s="6" t="s">
        <v>901</v>
      </c>
      <c r="C1003" s="6" t="str">
        <f t="shared" si="194"/>
        <v>HC86 430</v>
      </c>
      <c r="D1003" s="6" t="s">
        <v>900</v>
      </c>
      <c r="E1003" s="20">
        <v>430</v>
      </c>
      <c r="G1003" s="6" t="s">
        <v>905</v>
      </c>
      <c r="H1003" s="6" t="s">
        <v>977</v>
      </c>
      <c r="I1003" s="6" t="s">
        <v>20</v>
      </c>
      <c r="J1003" s="29"/>
      <c r="K1003" s="8" t="str">
        <f t="shared" si="195"/>
        <v/>
      </c>
      <c r="L1003" s="8" t="str">
        <f t="shared" si="196"/>
        <v/>
      </c>
      <c r="M1003" s="8">
        <v>3.4939999999999998</v>
      </c>
      <c r="N1003" s="8">
        <f>1.28+2.095+1.095</f>
        <v>4.47</v>
      </c>
      <c r="O1003" s="8">
        <v>5.9630000000000001</v>
      </c>
      <c r="P1003" s="8">
        <f>0.837+2.549+2.754+0.578</f>
        <v>6.7180000000000009</v>
      </c>
      <c r="Q1003" s="8"/>
      <c r="R1003" s="8"/>
      <c r="S1003" s="8">
        <v>3.7759999999999998</v>
      </c>
      <c r="T1003" s="8">
        <f>0.898+1.837+0.564</f>
        <v>3.2989999999999999</v>
      </c>
      <c r="U1003" s="8">
        <f>N1003/M1003</f>
        <v>1.2793360045792788</v>
      </c>
      <c r="V1003" s="8">
        <f>P1003/O1003</f>
        <v>1.1266141204091902</v>
      </c>
      <c r="W1003" s="8"/>
      <c r="X1003" s="8">
        <f>T1003/S1003</f>
        <v>0.87367584745762716</v>
      </c>
      <c r="Y1003" s="31">
        <f t="shared" si="197"/>
        <v>-3.8703062356321712E-2</v>
      </c>
      <c r="Z1003" s="31">
        <f t="shared" si="198"/>
        <v>-3.8703062356321712E-2</v>
      </c>
      <c r="AA1003" s="31" t="str">
        <f t="shared" si="199"/>
        <v/>
      </c>
    </row>
    <row r="1004" spans="1:27" x14ac:dyDescent="0.25">
      <c r="A1004" s="6" t="str">
        <f t="shared" si="193"/>
        <v>fragment</v>
      </c>
      <c r="B1004" s="6" t="s">
        <v>901</v>
      </c>
      <c r="C1004" s="6" t="str">
        <f t="shared" si="194"/>
        <v>HC86 430</v>
      </c>
      <c r="D1004" s="6" t="s">
        <v>900</v>
      </c>
      <c r="E1004" s="20">
        <v>430</v>
      </c>
      <c r="G1004" s="6" t="s">
        <v>906</v>
      </c>
      <c r="H1004" s="6" t="s">
        <v>977</v>
      </c>
      <c r="I1004" s="6" t="s">
        <v>20</v>
      </c>
      <c r="J1004" s="29"/>
      <c r="K1004" s="8" t="str">
        <f t="shared" si="195"/>
        <v/>
      </c>
      <c r="L1004" s="8" t="str">
        <f t="shared" si="196"/>
        <v/>
      </c>
      <c r="M1004" s="8"/>
      <c r="N1004" s="8"/>
      <c r="O1004" s="8">
        <v>4.2510000000000003</v>
      </c>
      <c r="P1004" s="8">
        <f>0.33+3.15+0.742</f>
        <v>4.2219999999999995</v>
      </c>
      <c r="Q1004" s="8">
        <v>3.4329999999999998</v>
      </c>
      <c r="R1004" s="8">
        <f>1.496+1.537+0.895</f>
        <v>3.9279999999999999</v>
      </c>
      <c r="S1004" s="8">
        <v>4.5549999999999997</v>
      </c>
      <c r="T1004" s="8">
        <f>0.969+2.186+2.576+0.463</f>
        <v>6.194</v>
      </c>
      <c r="U1004" s="8"/>
      <c r="V1004" s="8">
        <f>P1004/O1004</f>
        <v>0.99317807574688288</v>
      </c>
      <c r="W1004" s="8">
        <f>R1004/Q1004</f>
        <v>1.1441887561899213</v>
      </c>
      <c r="X1004" s="8">
        <f>T1004/S1004</f>
        <v>1.3598243688254665</v>
      </c>
      <c r="Y1004" s="31">
        <f t="shared" si="197"/>
        <v>-6.6598122275315683E-2</v>
      </c>
      <c r="Z1004" s="31">
        <f t="shared" si="198"/>
        <v>-6.6598122275315683E-2</v>
      </c>
      <c r="AA1004" s="31" t="str">
        <f t="shared" si="199"/>
        <v/>
      </c>
    </row>
    <row r="1005" spans="1:27" x14ac:dyDescent="0.25">
      <c r="A1005" s="6" t="str">
        <f t="shared" si="193"/>
        <v>fragment</v>
      </c>
      <c r="B1005" s="6" t="s">
        <v>901</v>
      </c>
      <c r="C1005" s="6" t="str">
        <f t="shared" si="194"/>
        <v>HC86 430</v>
      </c>
      <c r="D1005" s="6" t="s">
        <v>900</v>
      </c>
      <c r="E1005" s="20">
        <v>430</v>
      </c>
      <c r="G1005" s="6" t="s">
        <v>907</v>
      </c>
      <c r="H1005" s="6" t="s">
        <v>977</v>
      </c>
      <c r="I1005" s="6" t="s">
        <v>20</v>
      </c>
      <c r="J1005" s="29"/>
      <c r="K1005" s="8" t="str">
        <f t="shared" si="195"/>
        <v/>
      </c>
      <c r="L1005" s="8" t="str">
        <f t="shared" si="196"/>
        <v/>
      </c>
      <c r="M1005" s="8"/>
      <c r="N1005" s="8"/>
      <c r="O1005" s="8"/>
      <c r="P1005" s="8"/>
      <c r="Q1005" s="8">
        <v>3.3490000000000002</v>
      </c>
      <c r="R1005" s="8">
        <f>0.772+2.08+1.687+0.823</f>
        <v>5.3620000000000001</v>
      </c>
      <c r="S1005" s="8">
        <v>3.74</v>
      </c>
      <c r="T1005" s="8">
        <f>1.363+1.839+1.194</f>
        <v>4.3959999999999999</v>
      </c>
      <c r="U1005" s="8"/>
      <c r="V1005" s="8"/>
      <c r="W1005" s="8">
        <f>R1005/Q1005</f>
        <v>1.6010749477455957</v>
      </c>
      <c r="X1005" s="8">
        <f>T1005/S1005</f>
        <v>1.1754010695187165</v>
      </c>
      <c r="Y1005" s="31">
        <f t="shared" si="197"/>
        <v>-0.14246393079767319</v>
      </c>
      <c r="Z1005" s="31">
        <f t="shared" si="198"/>
        <v>-0.14246393079767319</v>
      </c>
      <c r="AA1005" s="31" t="str">
        <f t="shared" si="199"/>
        <v/>
      </c>
    </row>
    <row r="1006" spans="1:27" x14ac:dyDescent="0.25">
      <c r="A1006" s="6" t="str">
        <f t="shared" si="193"/>
        <v>fragment</v>
      </c>
      <c r="B1006" s="6" t="s">
        <v>901</v>
      </c>
      <c r="C1006" s="6" t="str">
        <f t="shared" si="194"/>
        <v>HC86 430</v>
      </c>
      <c r="D1006" s="6" t="s">
        <v>900</v>
      </c>
      <c r="E1006" s="20">
        <v>430</v>
      </c>
      <c r="G1006" s="6" t="s">
        <v>908</v>
      </c>
      <c r="H1006" s="6" t="s">
        <v>977</v>
      </c>
      <c r="I1006" s="6" t="s">
        <v>20</v>
      </c>
      <c r="J1006" s="29"/>
      <c r="K1006" s="8" t="str">
        <f t="shared" si="195"/>
        <v/>
      </c>
      <c r="L1006" s="8" t="str">
        <f t="shared" si="196"/>
        <v/>
      </c>
      <c r="M1006" s="8">
        <v>4.0990000000000002</v>
      </c>
      <c r="N1006" s="8">
        <f>0.761+2.313+2.409+0.685</f>
        <v>6.168000000000001</v>
      </c>
      <c r="O1006" s="8"/>
      <c r="P1006" s="8"/>
      <c r="Q1006" s="8"/>
      <c r="R1006" s="8"/>
      <c r="S1006" s="8"/>
      <c r="T1006" s="8"/>
      <c r="U1006" s="8">
        <f>N1006/M1006</f>
        <v>1.5047572578677728</v>
      </c>
      <c r="V1006" s="8"/>
      <c r="W1006" s="8"/>
      <c r="X1006" s="8"/>
      <c r="Y1006" s="31">
        <f t="shared" si="197"/>
        <v>-0.17746644672639883</v>
      </c>
      <c r="Z1006" s="31">
        <f t="shared" si="198"/>
        <v>-0.17746644672639883</v>
      </c>
      <c r="AA1006" s="31" t="str">
        <f t="shared" si="199"/>
        <v/>
      </c>
    </row>
    <row r="1007" spans="1:27" x14ac:dyDescent="0.25">
      <c r="A1007" s="6" t="str">
        <f t="shared" si="193"/>
        <v>fragment</v>
      </c>
      <c r="B1007" s="6" t="s">
        <v>901</v>
      </c>
      <c r="C1007" s="6" t="str">
        <f t="shared" si="194"/>
        <v>HC86 430</v>
      </c>
      <c r="D1007" s="22" t="s">
        <v>900</v>
      </c>
      <c r="E1007" s="24">
        <v>430</v>
      </c>
      <c r="F1007" s="22"/>
      <c r="G1007" s="22" t="s">
        <v>1139</v>
      </c>
      <c r="H1007" s="22" t="s">
        <v>977</v>
      </c>
      <c r="I1007" s="6" t="s">
        <v>20</v>
      </c>
      <c r="J1007" s="30"/>
      <c r="K1007" s="8" t="str">
        <f t="shared" si="195"/>
        <v/>
      </c>
      <c r="L1007" s="8" t="str">
        <f t="shared" si="196"/>
        <v/>
      </c>
      <c r="M1007" s="23">
        <v>13.254</v>
      </c>
      <c r="N1007" s="23">
        <f>2.918+5.364+3.546+1.094</f>
        <v>12.921999999999999</v>
      </c>
      <c r="O1007" s="23">
        <v>8.1150000000000002</v>
      </c>
      <c r="P1007" s="23">
        <f>2.507+2.276</f>
        <v>4.7829999999999995</v>
      </c>
      <c r="Q1007" s="23">
        <v>12.631</v>
      </c>
      <c r="R1007" s="23">
        <f>0.871+4.564+3.053</f>
        <v>8.4879999999999995</v>
      </c>
      <c r="S1007" s="8"/>
      <c r="T1007" s="8"/>
      <c r="U1007" s="8">
        <v>0.97495095820129762</v>
      </c>
      <c r="V1007" s="8">
        <v>0.58940234134319158</v>
      </c>
      <c r="W1007" s="8">
        <v>0.67199746655055015</v>
      </c>
      <c r="X1007" s="8"/>
      <c r="Y1007" s="31">
        <f t="shared" si="197"/>
        <v>0.12758133214564152</v>
      </c>
      <c r="Z1007" s="31">
        <f t="shared" si="198"/>
        <v>0.12758133214564152</v>
      </c>
      <c r="AA1007" s="31" t="str">
        <f t="shared" si="199"/>
        <v/>
      </c>
    </row>
    <row r="1008" spans="1:27" x14ac:dyDescent="0.25">
      <c r="A1008" s="6" t="str">
        <f t="shared" si="193"/>
        <v>fragment</v>
      </c>
      <c r="B1008" s="6" t="s">
        <v>901</v>
      </c>
      <c r="C1008" s="6" t="str">
        <f t="shared" si="194"/>
        <v>HC86 430</v>
      </c>
      <c r="D1008" s="22" t="s">
        <v>900</v>
      </c>
      <c r="E1008" s="24">
        <v>430</v>
      </c>
      <c r="F1008" s="22"/>
      <c r="G1008" s="22" t="s">
        <v>1140</v>
      </c>
      <c r="H1008" s="22" t="s">
        <v>977</v>
      </c>
      <c r="I1008" s="6" t="s">
        <v>20</v>
      </c>
      <c r="J1008" s="30"/>
      <c r="K1008" s="8" t="str">
        <f t="shared" si="195"/>
        <v/>
      </c>
      <c r="L1008" s="8" t="str">
        <f t="shared" si="196"/>
        <v/>
      </c>
      <c r="M1008" s="23"/>
      <c r="N1008" s="23"/>
      <c r="O1008" s="23">
        <v>6.3719999999999999</v>
      </c>
      <c r="P1008" s="23">
        <f>0.557+2.098+2.399+1.569</f>
        <v>6.6230000000000002</v>
      </c>
      <c r="Q1008" s="23">
        <v>4.4409999999999998</v>
      </c>
      <c r="R1008" s="23">
        <f>1.333+1.518+1.8+0.792</f>
        <v>5.4429999999999996</v>
      </c>
      <c r="S1008" s="8"/>
      <c r="T1008" s="8"/>
      <c r="U1008" s="8"/>
      <c r="V1008" s="8">
        <v>1.0393910860012556</v>
      </c>
      <c r="W1008" s="8">
        <v>1.2256248592659311</v>
      </c>
      <c r="X1008" s="8"/>
      <c r="Y1008" s="31">
        <f t="shared" si="197"/>
        <v>-5.4041268043446319E-2</v>
      </c>
      <c r="Z1008" s="31">
        <f t="shared" si="198"/>
        <v>-5.4041268043446319E-2</v>
      </c>
      <c r="AA1008" s="31" t="str">
        <f t="shared" si="199"/>
        <v/>
      </c>
    </row>
    <row r="1009" spans="1:27" x14ac:dyDescent="0.25">
      <c r="A1009" s="6" t="str">
        <f t="shared" si="193"/>
        <v>fragment</v>
      </c>
      <c r="B1009" s="6" t="s">
        <v>901</v>
      </c>
      <c r="C1009" s="6" t="str">
        <f t="shared" si="194"/>
        <v>HC86 430</v>
      </c>
      <c r="D1009" s="22" t="s">
        <v>900</v>
      </c>
      <c r="E1009" s="24">
        <v>430</v>
      </c>
      <c r="F1009" s="22"/>
      <c r="G1009" s="22" t="s">
        <v>1141</v>
      </c>
      <c r="H1009" s="22" t="s">
        <v>977</v>
      </c>
      <c r="I1009" s="6" t="s">
        <v>20</v>
      </c>
      <c r="J1009" s="30"/>
      <c r="K1009" s="8" t="str">
        <f t="shared" si="195"/>
        <v/>
      </c>
      <c r="L1009" s="8" t="str">
        <f t="shared" si="196"/>
        <v/>
      </c>
      <c r="M1009" s="23"/>
      <c r="N1009" s="23"/>
      <c r="O1009" s="23">
        <v>1.92</v>
      </c>
      <c r="P1009" s="23">
        <f>0.613+1.824+0.594</f>
        <v>3.0310000000000001</v>
      </c>
      <c r="Q1009" s="23">
        <v>2.1880000000000002</v>
      </c>
      <c r="R1009" s="23">
        <f>0.467+1.842+1.255</f>
        <v>3.5640000000000001</v>
      </c>
      <c r="S1009" s="8"/>
      <c r="T1009" s="8"/>
      <c r="U1009" s="8"/>
      <c r="V1009" s="8">
        <v>1.5786458333333335</v>
      </c>
      <c r="W1009" s="8">
        <v>1.6288848263254112</v>
      </c>
      <c r="X1009" s="8"/>
      <c r="Y1009" s="31">
        <f t="shared" si="197"/>
        <v>-0.2051408206712067</v>
      </c>
      <c r="Z1009" s="31">
        <f t="shared" si="198"/>
        <v>-0.2051408206712067</v>
      </c>
      <c r="AA1009" s="31" t="str">
        <f t="shared" si="199"/>
        <v/>
      </c>
    </row>
    <row r="1010" spans="1:27" x14ac:dyDescent="0.25">
      <c r="A1010" s="6" t="str">
        <f t="shared" si="193"/>
        <v>fragment</v>
      </c>
      <c r="B1010" s="6" t="s">
        <v>901</v>
      </c>
      <c r="C1010" s="6" t="str">
        <f t="shared" si="194"/>
        <v>HC86 430</v>
      </c>
      <c r="D1010" s="22" t="s">
        <v>900</v>
      </c>
      <c r="E1010" s="24">
        <v>430</v>
      </c>
      <c r="F1010" s="22"/>
      <c r="G1010" s="22" t="s">
        <v>1142</v>
      </c>
      <c r="H1010" s="22" t="s">
        <v>977</v>
      </c>
      <c r="I1010" s="6" t="s">
        <v>20</v>
      </c>
      <c r="J1010" s="30"/>
      <c r="K1010" s="8" t="str">
        <f t="shared" si="195"/>
        <v/>
      </c>
      <c r="L1010" s="8" t="str">
        <f t="shared" si="196"/>
        <v/>
      </c>
      <c r="M1010" s="23">
        <v>4.42</v>
      </c>
      <c r="N1010" s="23">
        <f>1.098+2.713+1.887</f>
        <v>5.6980000000000004</v>
      </c>
      <c r="O1010" s="23">
        <v>5.3940000000000001</v>
      </c>
      <c r="P1010" s="23">
        <f>1.027+3.41+0.762</f>
        <v>5.1989999999999998</v>
      </c>
      <c r="Q1010" s="23">
        <v>4.548</v>
      </c>
      <c r="R1010" s="23">
        <f>0.97+2.078+1.666</f>
        <v>4.7140000000000004</v>
      </c>
      <c r="S1010" s="8"/>
      <c r="T1010" s="8"/>
      <c r="U1010" s="8">
        <v>1.2891402714932128</v>
      </c>
      <c r="V1010" s="8">
        <v>0.96384872080088979</v>
      </c>
      <c r="W1010" s="8">
        <v>1.0364995602462621</v>
      </c>
      <c r="X1010" s="8"/>
      <c r="Y1010" s="31">
        <f t="shared" si="197"/>
        <v>-4.0007124666163164E-2</v>
      </c>
      <c r="Z1010" s="31">
        <f t="shared" si="198"/>
        <v>-4.0007124666163164E-2</v>
      </c>
      <c r="AA1010" s="31" t="str">
        <f t="shared" si="199"/>
        <v/>
      </c>
    </row>
    <row r="1011" spans="1:27" x14ac:dyDescent="0.25">
      <c r="A1011" s="6" t="str">
        <f t="shared" si="193"/>
        <v>complete</v>
      </c>
      <c r="B1011" s="6" t="s">
        <v>901</v>
      </c>
      <c r="C1011" s="6" t="str">
        <f t="shared" si="194"/>
        <v>HC86 430</v>
      </c>
      <c r="D1011" s="22" t="s">
        <v>900</v>
      </c>
      <c r="E1011" s="24">
        <v>430</v>
      </c>
      <c r="F1011" s="22"/>
      <c r="G1011" s="22" t="s">
        <v>1143</v>
      </c>
      <c r="H1011" s="22" t="s">
        <v>977</v>
      </c>
      <c r="I1011" s="6" t="s">
        <v>20</v>
      </c>
      <c r="J1011" s="30">
        <f>38.593*2</f>
        <v>77.186000000000007</v>
      </c>
      <c r="K1011" s="8">
        <f t="shared" si="195"/>
        <v>1.8875385351269309</v>
      </c>
      <c r="L1011" s="8">
        <f t="shared" si="196"/>
        <v>8.9513882794231794</v>
      </c>
      <c r="M1011" s="23">
        <v>6.04</v>
      </c>
      <c r="N1011" s="23">
        <f>0.864+3.721+0.676</f>
        <v>5.2610000000000001</v>
      </c>
      <c r="O1011" s="23">
        <v>5.9569999999999999</v>
      </c>
      <c r="P1011" s="23">
        <f>2.6+1.71</f>
        <v>4.3100000000000005</v>
      </c>
      <c r="Q1011" s="23">
        <v>4.6230000000000002</v>
      </c>
      <c r="R1011" s="23">
        <f>1.026+2.453+1.569</f>
        <v>5.048</v>
      </c>
      <c r="S1011" s="8"/>
      <c r="T1011" s="8"/>
      <c r="U1011" s="8">
        <v>0.87102649006622523</v>
      </c>
      <c r="V1011" s="8">
        <v>0.72351854960550621</v>
      </c>
      <c r="W1011" s="8">
        <v>1.0919316461172399</v>
      </c>
      <c r="X1011" s="8"/>
      <c r="Y1011" s="31">
        <f t="shared" si="197"/>
        <v>4.7938178762329135E-2</v>
      </c>
      <c r="Z1011" s="31" t="str">
        <f t="shared" si="198"/>
        <v/>
      </c>
      <c r="AA1011" s="31">
        <f t="shared" si="199"/>
        <v>4.7938178762329135E-2</v>
      </c>
    </row>
    <row r="1012" spans="1:27" x14ac:dyDescent="0.25">
      <c r="A1012" s="6" t="str">
        <f t="shared" si="193"/>
        <v>fragment</v>
      </c>
      <c r="B1012" s="6" t="s">
        <v>901</v>
      </c>
      <c r="C1012" s="6" t="str">
        <f t="shared" si="194"/>
        <v>HC86 430</v>
      </c>
      <c r="D1012" s="22" t="s">
        <v>900</v>
      </c>
      <c r="E1012" s="24">
        <v>430</v>
      </c>
      <c r="F1012" s="22"/>
      <c r="G1012" s="22" t="s">
        <v>1144</v>
      </c>
      <c r="H1012" s="22" t="s">
        <v>977</v>
      </c>
      <c r="I1012" s="6" t="s">
        <v>20</v>
      </c>
      <c r="J1012" s="30"/>
      <c r="K1012" s="8" t="str">
        <f t="shared" si="195"/>
        <v/>
      </c>
      <c r="L1012" s="8" t="str">
        <f t="shared" si="196"/>
        <v/>
      </c>
      <c r="M1012" s="23"/>
      <c r="N1012" s="23"/>
      <c r="O1012" s="23">
        <v>8.5790000000000006</v>
      </c>
      <c r="P1012" s="23">
        <f>1.36+4.123+1.54</f>
        <v>7.0230000000000006</v>
      </c>
      <c r="Q1012" s="23">
        <v>7.1870000000000003</v>
      </c>
      <c r="R1012" s="23">
        <f>0.756+2.88+3.011+0.679</f>
        <v>7.3260000000000005</v>
      </c>
      <c r="S1012" s="8"/>
      <c r="T1012" s="8"/>
      <c r="U1012" s="8"/>
      <c r="V1012" s="8">
        <v>0.81862687958969582</v>
      </c>
      <c r="W1012" s="8">
        <v>1.0193404758591902</v>
      </c>
      <c r="X1012" s="8"/>
      <c r="Y1012" s="31">
        <f t="shared" si="197"/>
        <v>3.6692202147248783E-2</v>
      </c>
      <c r="Z1012" s="31">
        <f t="shared" si="198"/>
        <v>3.6692202147248783E-2</v>
      </c>
      <c r="AA1012" s="31" t="str">
        <f t="shared" si="199"/>
        <v/>
      </c>
    </row>
    <row r="1013" spans="1:27" x14ac:dyDescent="0.25">
      <c r="A1013" s="6" t="str">
        <f t="shared" si="193"/>
        <v>fragment</v>
      </c>
      <c r="B1013" s="6" t="s">
        <v>901</v>
      </c>
      <c r="C1013" s="6" t="str">
        <f t="shared" si="194"/>
        <v>HC86 430</v>
      </c>
      <c r="D1013" s="22" t="s">
        <v>900</v>
      </c>
      <c r="E1013" s="24">
        <v>430</v>
      </c>
      <c r="F1013" s="22"/>
      <c r="G1013" s="22" t="s">
        <v>1145</v>
      </c>
      <c r="H1013" s="22" t="s">
        <v>977</v>
      </c>
      <c r="I1013" s="6" t="s">
        <v>20</v>
      </c>
      <c r="J1013" s="30"/>
      <c r="K1013" s="8" t="str">
        <f t="shared" si="195"/>
        <v/>
      </c>
      <c r="L1013" s="8" t="str">
        <f t="shared" si="196"/>
        <v/>
      </c>
      <c r="M1013" s="23">
        <v>4.0090000000000003</v>
      </c>
      <c r="N1013" s="23">
        <f>0.266+1.779+2.113+0.539</f>
        <v>4.6969999999999992</v>
      </c>
      <c r="O1013" s="23">
        <v>5.2220000000000004</v>
      </c>
      <c r="P1013" s="23">
        <f>0.877+2.836+0.945</f>
        <v>4.6580000000000004</v>
      </c>
      <c r="Q1013" s="23">
        <v>4.8840000000000003</v>
      </c>
      <c r="R1013" s="23">
        <f>0.621+3.168+1.328</f>
        <v>5.117</v>
      </c>
      <c r="S1013" s="8"/>
      <c r="T1013" s="8"/>
      <c r="U1013" s="8">
        <v>1.1716138687952105</v>
      </c>
      <c r="V1013" s="8">
        <v>0.8919954040597472</v>
      </c>
      <c r="W1013" s="8">
        <v>1.0477067977067975</v>
      </c>
      <c r="X1013" s="8"/>
      <c r="Y1013" s="31">
        <f t="shared" si="197"/>
        <v>-1.5822877484602094E-2</v>
      </c>
      <c r="Z1013" s="31">
        <f t="shared" si="198"/>
        <v>-1.5822877484602094E-2</v>
      </c>
      <c r="AA1013" s="31" t="str">
        <f t="shared" si="199"/>
        <v/>
      </c>
    </row>
    <row r="1014" spans="1:27" x14ac:dyDescent="0.25">
      <c r="A1014" s="6" t="str">
        <f t="shared" si="193"/>
        <v>fragment</v>
      </c>
      <c r="B1014" s="6" t="s">
        <v>901</v>
      </c>
      <c r="C1014" s="6" t="str">
        <f t="shared" si="194"/>
        <v>HC86 430</v>
      </c>
      <c r="D1014" s="22" t="s">
        <v>900</v>
      </c>
      <c r="E1014" s="24">
        <v>430</v>
      </c>
      <c r="F1014" s="22"/>
      <c r="G1014" s="22" t="s">
        <v>1036</v>
      </c>
      <c r="H1014" s="22" t="s">
        <v>977</v>
      </c>
      <c r="I1014" s="6" t="s">
        <v>20</v>
      </c>
      <c r="J1014" s="30"/>
      <c r="K1014" s="8" t="str">
        <f t="shared" si="195"/>
        <v/>
      </c>
      <c r="L1014" s="8" t="str">
        <f t="shared" si="196"/>
        <v/>
      </c>
      <c r="M1014" s="23"/>
      <c r="N1014" s="23"/>
      <c r="O1014" s="23">
        <v>4.6909999999999998</v>
      </c>
      <c r="P1014" s="23">
        <f>2.34+2.772+0.368</f>
        <v>5.48</v>
      </c>
      <c r="Q1014" s="23">
        <v>3.0779999999999998</v>
      </c>
      <c r="R1014" s="23">
        <f>2.049+1.507</f>
        <v>3.556</v>
      </c>
      <c r="S1014" s="8"/>
      <c r="T1014" s="8"/>
      <c r="U1014" s="8"/>
      <c r="V1014" s="8">
        <v>1.1681944148369219</v>
      </c>
      <c r="W1014" s="8">
        <v>1.1552956465237167</v>
      </c>
      <c r="X1014" s="8"/>
      <c r="Y1014" s="31">
        <f t="shared" si="197"/>
        <v>-6.5110823476938501E-2</v>
      </c>
      <c r="Z1014" s="31">
        <f t="shared" si="198"/>
        <v>-6.5110823476938501E-2</v>
      </c>
      <c r="AA1014" s="31" t="str">
        <f t="shared" si="199"/>
        <v/>
      </c>
    </row>
    <row r="1015" spans="1:27" x14ac:dyDescent="0.25">
      <c r="A1015" s="6" t="str">
        <f t="shared" si="193"/>
        <v>fragment</v>
      </c>
      <c r="B1015" s="6" t="s">
        <v>901</v>
      </c>
      <c r="C1015" s="6" t="str">
        <f t="shared" si="194"/>
        <v>HC86 430</v>
      </c>
      <c r="D1015" s="22" t="s">
        <v>900</v>
      </c>
      <c r="E1015" s="24">
        <v>430</v>
      </c>
      <c r="F1015" s="22"/>
      <c r="G1015" s="22" t="s">
        <v>1146</v>
      </c>
      <c r="H1015" s="22" t="s">
        <v>977</v>
      </c>
      <c r="I1015" s="6" t="s">
        <v>20</v>
      </c>
      <c r="J1015" s="30"/>
      <c r="K1015" s="8" t="str">
        <f t="shared" si="195"/>
        <v/>
      </c>
      <c r="L1015" s="8" t="str">
        <f t="shared" si="196"/>
        <v/>
      </c>
      <c r="M1015" s="23"/>
      <c r="N1015" s="23"/>
      <c r="O1015" s="23">
        <v>2.8149999999999999</v>
      </c>
      <c r="P1015" s="23">
        <f>1.219+1.882</f>
        <v>3.101</v>
      </c>
      <c r="Q1015" s="23">
        <v>3.423</v>
      </c>
      <c r="R1015" s="23">
        <f>1.691+2.151+0.441</f>
        <v>4.2829999999999995</v>
      </c>
      <c r="S1015" s="8"/>
      <c r="T1015" s="8"/>
      <c r="U1015" s="8"/>
      <c r="V1015" s="8">
        <v>1.1015985790408527</v>
      </c>
      <c r="W1015" s="8">
        <v>1.2512416009348524</v>
      </c>
      <c r="X1015" s="8"/>
      <c r="Y1015" s="31">
        <f t="shared" si="197"/>
        <v>-7.0562432441939493E-2</v>
      </c>
      <c r="Z1015" s="31">
        <f t="shared" si="198"/>
        <v>-7.0562432441939493E-2</v>
      </c>
      <c r="AA1015" s="31" t="str">
        <f t="shared" si="199"/>
        <v/>
      </c>
    </row>
    <row r="1016" spans="1:27" x14ac:dyDescent="0.25">
      <c r="A1016" s="6" t="str">
        <f t="shared" si="193"/>
        <v>fragment</v>
      </c>
      <c r="B1016" s="6" t="s">
        <v>901</v>
      </c>
      <c r="C1016" s="6" t="str">
        <f t="shared" si="194"/>
        <v>HC86 430</v>
      </c>
      <c r="D1016" s="22" t="s">
        <v>900</v>
      </c>
      <c r="E1016" s="24">
        <v>430</v>
      </c>
      <c r="F1016" s="22"/>
      <c r="G1016" s="22" t="s">
        <v>1147</v>
      </c>
      <c r="H1016" s="22" t="s">
        <v>977</v>
      </c>
      <c r="I1016" s="6" t="s">
        <v>20</v>
      </c>
      <c r="J1016" s="30"/>
      <c r="K1016" s="8" t="str">
        <f t="shared" si="195"/>
        <v/>
      </c>
      <c r="L1016" s="8" t="str">
        <f t="shared" si="196"/>
        <v/>
      </c>
      <c r="M1016" s="23"/>
      <c r="N1016" s="23"/>
      <c r="O1016" s="23">
        <v>4.5190000000000001</v>
      </c>
      <c r="P1016" s="23">
        <f>0.729+2.569+0.497</f>
        <v>3.7949999999999999</v>
      </c>
      <c r="Q1016" s="23">
        <v>2.6259999999999999</v>
      </c>
      <c r="R1016" s="23">
        <f>0.412+2.532+0.946</f>
        <v>3.8899999999999997</v>
      </c>
      <c r="S1016" s="8"/>
      <c r="T1016" s="8"/>
      <c r="U1016" s="8"/>
      <c r="V1016" s="8">
        <v>0.83978756362026996</v>
      </c>
      <c r="W1016" s="8">
        <v>1.4813404417364813</v>
      </c>
      <c r="X1016" s="8"/>
      <c r="Y1016" s="31">
        <f t="shared" si="197"/>
        <v>-6.4669095885073594E-2</v>
      </c>
      <c r="Z1016" s="31">
        <f t="shared" si="198"/>
        <v>-6.4669095885073594E-2</v>
      </c>
      <c r="AA1016" s="31" t="str">
        <f t="shared" si="199"/>
        <v/>
      </c>
    </row>
    <row r="1017" spans="1:27" x14ac:dyDescent="0.25">
      <c r="A1017" s="6" t="str">
        <f t="shared" si="193"/>
        <v>fragment</v>
      </c>
      <c r="B1017" s="6" t="s">
        <v>901</v>
      </c>
      <c r="C1017" s="6" t="str">
        <f t="shared" si="194"/>
        <v>HC86 430</v>
      </c>
      <c r="D1017" s="22" t="s">
        <v>900</v>
      </c>
      <c r="E1017" s="24">
        <v>430</v>
      </c>
      <c r="F1017" s="22"/>
      <c r="G1017" s="22" t="s">
        <v>1148</v>
      </c>
      <c r="H1017" s="22" t="s">
        <v>977</v>
      </c>
      <c r="I1017" s="6" t="s">
        <v>20</v>
      </c>
      <c r="J1017" s="30"/>
      <c r="K1017" s="8" t="str">
        <f t="shared" si="195"/>
        <v/>
      </c>
      <c r="L1017" s="8" t="str">
        <f t="shared" si="196"/>
        <v/>
      </c>
      <c r="M1017" s="23">
        <v>3.2330000000000001</v>
      </c>
      <c r="N1017" s="23">
        <f>1.491+1.958+0.423</f>
        <v>3.8719999999999999</v>
      </c>
      <c r="O1017" s="23">
        <v>2.5169999999999999</v>
      </c>
      <c r="P1017" s="23">
        <f>0.854+1.838+0.494</f>
        <v>3.1859999999999999</v>
      </c>
      <c r="Q1017" s="23">
        <v>3.1560000000000001</v>
      </c>
      <c r="R1017" s="23">
        <f>1.093+1.75+1.36</f>
        <v>4.2030000000000003</v>
      </c>
      <c r="S1017" s="8"/>
      <c r="T1017" s="8"/>
      <c r="U1017" s="8">
        <v>1.1976492421899163</v>
      </c>
      <c r="V1017" s="8">
        <v>1.2657926102502981</v>
      </c>
      <c r="W1017" s="8">
        <v>1.3317490494296578</v>
      </c>
      <c r="X1017" s="8"/>
      <c r="Y1017" s="31">
        <f t="shared" si="197"/>
        <v>-0.10211237150484527</v>
      </c>
      <c r="Z1017" s="31">
        <f t="shared" si="198"/>
        <v>-0.10211237150484527</v>
      </c>
      <c r="AA1017" s="31" t="str">
        <f t="shared" si="199"/>
        <v/>
      </c>
    </row>
    <row r="1018" spans="1:27" x14ac:dyDescent="0.25">
      <c r="A1018" s="6" t="str">
        <f t="shared" si="193"/>
        <v>fragment</v>
      </c>
      <c r="B1018" s="6" t="s">
        <v>901</v>
      </c>
      <c r="C1018" s="6" t="str">
        <f t="shared" si="194"/>
        <v>HC86 430</v>
      </c>
      <c r="D1018" s="22" t="s">
        <v>900</v>
      </c>
      <c r="E1018" s="24">
        <v>430</v>
      </c>
      <c r="F1018" s="22"/>
      <c r="G1018" s="22" t="s">
        <v>1149</v>
      </c>
      <c r="H1018" s="22" t="s">
        <v>977</v>
      </c>
      <c r="I1018" s="6" t="s">
        <v>20</v>
      </c>
      <c r="J1018" s="30"/>
      <c r="K1018" s="8" t="str">
        <f t="shared" si="195"/>
        <v/>
      </c>
      <c r="L1018" s="8" t="str">
        <f t="shared" si="196"/>
        <v/>
      </c>
      <c r="M1018" s="23">
        <v>1.897</v>
      </c>
      <c r="N1018" s="23">
        <f>1.464+1.346</f>
        <v>2.81</v>
      </c>
      <c r="O1018" s="23">
        <v>2.4820000000000002</v>
      </c>
      <c r="P1018" s="23">
        <f>1.527+1.634</f>
        <v>3.1609999999999996</v>
      </c>
      <c r="Q1018" s="23">
        <v>2.3159999999999998</v>
      </c>
      <c r="R1018" s="23">
        <f>1.145+1.682+0.763</f>
        <v>3.59</v>
      </c>
      <c r="S1018" s="8"/>
      <c r="T1018" s="8"/>
      <c r="U1018" s="8">
        <v>1.481286241433843</v>
      </c>
      <c r="V1018" s="8">
        <v>1.2735697018533438</v>
      </c>
      <c r="W1018" s="8">
        <v>1.5500863557858378</v>
      </c>
      <c r="X1018" s="8"/>
      <c r="Y1018" s="31">
        <f t="shared" si="197"/>
        <v>-0.15684608007997047</v>
      </c>
      <c r="Z1018" s="31">
        <f t="shared" si="198"/>
        <v>-0.15684608007997047</v>
      </c>
      <c r="AA1018" s="31" t="str">
        <f t="shared" si="199"/>
        <v/>
      </c>
    </row>
    <row r="1019" spans="1:27" x14ac:dyDescent="0.25">
      <c r="A1019" s="6" t="str">
        <f t="shared" si="193"/>
        <v>fragment</v>
      </c>
      <c r="B1019" s="6" t="s">
        <v>901</v>
      </c>
      <c r="C1019" s="6" t="str">
        <f t="shared" si="194"/>
        <v>HC86 430</v>
      </c>
      <c r="D1019" s="22" t="s">
        <v>900</v>
      </c>
      <c r="E1019" s="24">
        <v>430</v>
      </c>
      <c r="F1019" s="22"/>
      <c r="G1019" s="22" t="s">
        <v>1150</v>
      </c>
      <c r="H1019" s="22" t="s">
        <v>977</v>
      </c>
      <c r="I1019" s="6" t="s">
        <v>20</v>
      </c>
      <c r="J1019" s="30"/>
      <c r="K1019" s="8" t="str">
        <f t="shared" si="195"/>
        <v/>
      </c>
      <c r="L1019" s="8" t="str">
        <f t="shared" si="196"/>
        <v/>
      </c>
      <c r="M1019" s="23"/>
      <c r="N1019" s="23"/>
      <c r="O1019" s="23">
        <v>5.2409999999999997</v>
      </c>
      <c r="P1019" s="23">
        <f>2.365+2.055</f>
        <v>4.42</v>
      </c>
      <c r="Q1019" s="23">
        <v>4.4870000000000001</v>
      </c>
      <c r="R1019" s="23">
        <f>0.522+2.07+2.376+0.539</f>
        <v>5.5069999999999997</v>
      </c>
      <c r="S1019" s="8"/>
      <c r="T1019" s="8"/>
      <c r="U1019" s="8"/>
      <c r="V1019" s="8">
        <v>0.84335050562869684</v>
      </c>
      <c r="W1019" s="8">
        <v>1.2273233786494315</v>
      </c>
      <c r="X1019" s="8"/>
      <c r="Y1019" s="31">
        <f t="shared" si="197"/>
        <v>-1.5081710467162827E-2</v>
      </c>
      <c r="Z1019" s="31">
        <f t="shared" si="198"/>
        <v>-1.5081710467162827E-2</v>
      </c>
      <c r="AA1019" s="31" t="str">
        <f t="shared" si="199"/>
        <v/>
      </c>
    </row>
    <row r="1020" spans="1:27" x14ac:dyDescent="0.25">
      <c r="A1020" s="6" t="str">
        <f t="shared" si="193"/>
        <v>fragment</v>
      </c>
      <c r="B1020" s="6" t="s">
        <v>901</v>
      </c>
      <c r="C1020" s="6" t="str">
        <f t="shared" si="194"/>
        <v>HC86 430</v>
      </c>
      <c r="D1020" s="22" t="s">
        <v>900</v>
      </c>
      <c r="E1020" s="24">
        <v>430</v>
      </c>
      <c r="F1020" s="22"/>
      <c r="G1020" s="22" t="s">
        <v>1151</v>
      </c>
      <c r="H1020" s="22" t="s">
        <v>977</v>
      </c>
      <c r="I1020" s="6" t="s">
        <v>20</v>
      </c>
      <c r="J1020" s="30"/>
      <c r="K1020" s="8" t="str">
        <f t="shared" si="195"/>
        <v/>
      </c>
      <c r="L1020" s="8" t="str">
        <f t="shared" si="196"/>
        <v/>
      </c>
      <c r="M1020" s="23">
        <v>2.9550000000000001</v>
      </c>
      <c r="N1020" s="23">
        <f>1.02+2.67+1.112</f>
        <v>4.8019999999999996</v>
      </c>
      <c r="O1020" s="23">
        <v>2.5169999999999999</v>
      </c>
      <c r="P1020" s="23">
        <f>1.515+0.922+0.827</f>
        <v>3.2639999999999998</v>
      </c>
      <c r="Q1020" s="23">
        <v>2.3690000000000002</v>
      </c>
      <c r="R1020" s="23">
        <f>1.475+0.377+0.604</f>
        <v>2.456</v>
      </c>
      <c r="S1020" s="8"/>
      <c r="T1020" s="8"/>
      <c r="U1020" s="8">
        <v>1.625042301184433</v>
      </c>
      <c r="V1020" s="8">
        <v>1.2967818831942788</v>
      </c>
      <c r="W1020" s="8">
        <v>1.0367243562684676</v>
      </c>
      <c r="X1020" s="8"/>
      <c r="Y1020" s="31">
        <f t="shared" si="197"/>
        <v>-0.12041472000913606</v>
      </c>
      <c r="Z1020" s="31">
        <f t="shared" si="198"/>
        <v>-0.12041472000913606</v>
      </c>
      <c r="AA1020" s="31" t="str">
        <f t="shared" si="199"/>
        <v/>
      </c>
    </row>
    <row r="1021" spans="1:27" x14ac:dyDescent="0.25">
      <c r="A1021" s="6" t="str">
        <f t="shared" si="193"/>
        <v>fragment</v>
      </c>
      <c r="B1021" s="6" t="s">
        <v>901</v>
      </c>
      <c r="C1021" s="6" t="str">
        <f t="shared" si="194"/>
        <v>HC86 430</v>
      </c>
      <c r="D1021" s="22" t="s">
        <v>900</v>
      </c>
      <c r="E1021" s="24">
        <v>430</v>
      </c>
      <c r="F1021" s="22"/>
      <c r="G1021" s="22" t="s">
        <v>1152</v>
      </c>
      <c r="H1021" s="22" t="s">
        <v>977</v>
      </c>
      <c r="I1021" s="6" t="s">
        <v>20</v>
      </c>
      <c r="J1021" s="30"/>
      <c r="K1021" s="8" t="str">
        <f t="shared" si="195"/>
        <v/>
      </c>
      <c r="L1021" s="8" t="str">
        <f t="shared" si="196"/>
        <v/>
      </c>
      <c r="M1021" s="23">
        <v>2.7330000000000001</v>
      </c>
      <c r="N1021" s="23">
        <f>0.395+1.783+1.019</f>
        <v>3.1970000000000001</v>
      </c>
      <c r="O1021" s="23">
        <v>5.89</v>
      </c>
      <c r="P1021" s="23">
        <f>0.845+3.791+1.037</f>
        <v>5.673</v>
      </c>
      <c r="Q1021" s="23">
        <v>6.9169999999999998</v>
      </c>
      <c r="R1021" s="23">
        <f>0.979+3.419+0.482</f>
        <v>4.88</v>
      </c>
      <c r="S1021" s="8"/>
      <c r="T1021" s="8"/>
      <c r="U1021" s="8">
        <v>1.1697768020490305</v>
      </c>
      <c r="V1021" s="8">
        <v>0.96315789473684221</v>
      </c>
      <c r="W1021" s="8">
        <v>0.70550816828104668</v>
      </c>
      <c r="X1021" s="8"/>
      <c r="Y1021" s="31">
        <f t="shared" si="197"/>
        <v>2.4041097971122555E-2</v>
      </c>
      <c r="Z1021" s="31">
        <f t="shared" si="198"/>
        <v>2.4041097971122555E-2</v>
      </c>
      <c r="AA1021" s="31" t="str">
        <f t="shared" si="199"/>
        <v/>
      </c>
    </row>
    <row r="1022" spans="1:27" x14ac:dyDescent="0.25">
      <c r="A1022" s="6" t="str">
        <f t="shared" si="193"/>
        <v>fragment</v>
      </c>
      <c r="B1022" s="6" t="s">
        <v>901</v>
      </c>
      <c r="C1022" s="6" t="str">
        <f t="shared" si="194"/>
        <v>HC86 430</v>
      </c>
      <c r="D1022" s="22" t="s">
        <v>900</v>
      </c>
      <c r="E1022" s="24">
        <v>430</v>
      </c>
      <c r="F1022" s="22"/>
      <c r="G1022" s="22" t="s">
        <v>1153</v>
      </c>
      <c r="H1022" s="22" t="s">
        <v>977</v>
      </c>
      <c r="I1022" s="6" t="s">
        <v>20</v>
      </c>
      <c r="J1022" s="30"/>
      <c r="K1022" s="8" t="str">
        <f t="shared" si="195"/>
        <v/>
      </c>
      <c r="L1022" s="8" t="str">
        <f t="shared" si="196"/>
        <v/>
      </c>
      <c r="M1022" s="23">
        <v>7.8079999999999998</v>
      </c>
      <c r="N1022" s="23">
        <f>1.609+3.408+2.338</f>
        <v>7.3549999999999995</v>
      </c>
      <c r="O1022" s="23">
        <v>7.1619999999999999</v>
      </c>
      <c r="P1022" s="23">
        <f>0.826+3.216+1.412</f>
        <v>5.4539999999999997</v>
      </c>
      <c r="Q1022" s="23">
        <v>8.0299999999999994</v>
      </c>
      <c r="R1022" s="23">
        <f>1.774+2.702+1.378</f>
        <v>5.8540000000000001</v>
      </c>
      <c r="S1022" s="8"/>
      <c r="T1022" s="8"/>
      <c r="U1022" s="8">
        <v>0.94198258196721307</v>
      </c>
      <c r="V1022" s="8">
        <v>0.76151912873499017</v>
      </c>
      <c r="W1022" s="8">
        <v>0.72901618929016199</v>
      </c>
      <c r="X1022" s="8"/>
      <c r="Y1022" s="31">
        <f t="shared" si="197"/>
        <v>9.1065209956330356E-2</v>
      </c>
      <c r="Z1022" s="31">
        <f t="shared" si="198"/>
        <v>9.1065209956330356E-2</v>
      </c>
      <c r="AA1022" s="31" t="str">
        <f t="shared" si="199"/>
        <v/>
      </c>
    </row>
    <row r="1023" spans="1:27" x14ac:dyDescent="0.25">
      <c r="A1023" s="6" t="str">
        <f t="shared" si="193"/>
        <v>complete</v>
      </c>
      <c r="B1023" s="6" t="s">
        <v>901</v>
      </c>
      <c r="C1023" s="6" t="str">
        <f t="shared" si="194"/>
        <v>HC86 430</v>
      </c>
      <c r="D1023" s="22" t="s">
        <v>900</v>
      </c>
      <c r="E1023" s="24">
        <v>430</v>
      </c>
      <c r="F1023" s="22"/>
      <c r="G1023" s="22" t="s">
        <v>1154</v>
      </c>
      <c r="H1023" s="22" t="s">
        <v>977</v>
      </c>
      <c r="I1023" s="6" t="s">
        <v>20</v>
      </c>
      <c r="J1023" s="30">
        <f>44.947*2</f>
        <v>89.894000000000005</v>
      </c>
      <c r="K1023" s="8">
        <f t="shared" si="195"/>
        <v>1.9537307055947326</v>
      </c>
      <c r="L1023" s="8">
        <f t="shared" si="196"/>
        <v>9.1038013844152612</v>
      </c>
      <c r="M1023" s="23">
        <v>3.2629999999999999</v>
      </c>
      <c r="N1023" s="23">
        <f>1.489+1.818</f>
        <v>3.3070000000000004</v>
      </c>
      <c r="O1023" s="23">
        <v>3.79</v>
      </c>
      <c r="P1023" s="23">
        <f>0.638+1.747+0.877</f>
        <v>3.2620000000000005</v>
      </c>
      <c r="Q1023" s="23">
        <v>5.9820000000000002</v>
      </c>
      <c r="R1023" s="23">
        <f>1.142+2.444+1.321</f>
        <v>4.907</v>
      </c>
      <c r="S1023" s="8"/>
      <c r="T1023" s="8"/>
      <c r="U1023" s="8">
        <v>1.013484523444683</v>
      </c>
      <c r="V1023" s="8">
        <v>0.86068601583113469</v>
      </c>
      <c r="W1023" s="8">
        <v>0.82029421598127716</v>
      </c>
      <c r="X1023" s="8"/>
      <c r="Y1023" s="31">
        <f t="shared" si="197"/>
        <v>4.6648747506663521E-2</v>
      </c>
      <c r="Z1023" s="31" t="str">
        <f t="shared" si="198"/>
        <v/>
      </c>
      <c r="AA1023" s="31">
        <f t="shared" si="199"/>
        <v>4.6648747506663521E-2</v>
      </c>
    </row>
    <row r="1024" spans="1:27" x14ac:dyDescent="0.25">
      <c r="A1024" s="6" t="str">
        <f t="shared" si="193"/>
        <v>complete</v>
      </c>
      <c r="B1024" s="6" t="s">
        <v>901</v>
      </c>
      <c r="C1024" s="6" t="str">
        <f t="shared" si="194"/>
        <v>HC86 430</v>
      </c>
      <c r="D1024" s="22" t="s">
        <v>900</v>
      </c>
      <c r="E1024" s="24">
        <v>430</v>
      </c>
      <c r="F1024" s="22"/>
      <c r="G1024" s="22" t="s">
        <v>1155</v>
      </c>
      <c r="H1024" s="22" t="s">
        <v>977</v>
      </c>
      <c r="I1024" s="6" t="s">
        <v>20</v>
      </c>
      <c r="J1024" s="30">
        <f>22.972*2</f>
        <v>45.944000000000003</v>
      </c>
      <c r="K1024" s="8">
        <f t="shared" si="195"/>
        <v>1.6622288032731101</v>
      </c>
      <c r="L1024" s="8">
        <f t="shared" si="196"/>
        <v>8.4325934495500867</v>
      </c>
      <c r="M1024" s="23">
        <v>1.52</v>
      </c>
      <c r="N1024" s="23">
        <f>0.223+1.452+0.213</f>
        <v>1.8880000000000001</v>
      </c>
      <c r="O1024" s="23">
        <v>2.0539999999999998</v>
      </c>
      <c r="P1024" s="23">
        <f>0.561+2.112+0.518</f>
        <v>3.1909999999999998</v>
      </c>
      <c r="Q1024" s="23">
        <v>2.2469999999999999</v>
      </c>
      <c r="R1024" s="23">
        <f>0.723+1.673+0.985</f>
        <v>3.3809999999999998</v>
      </c>
      <c r="S1024" s="8"/>
      <c r="T1024" s="8"/>
      <c r="U1024" s="8">
        <v>1.2421052631578948</v>
      </c>
      <c r="V1024" s="8">
        <v>1.5535540408958131</v>
      </c>
      <c r="W1024" s="8">
        <v>1.5046728971962617</v>
      </c>
      <c r="X1024" s="8"/>
      <c r="Y1024" s="31">
        <f t="shared" si="197"/>
        <v>-0.15638075146388661</v>
      </c>
      <c r="Z1024" s="31" t="str">
        <f t="shared" si="198"/>
        <v/>
      </c>
      <c r="AA1024" s="31">
        <f t="shared" si="199"/>
        <v>-0.15638075146388661</v>
      </c>
    </row>
    <row r="1025" spans="1:27" x14ac:dyDescent="0.25">
      <c r="A1025" s="6" t="str">
        <f t="shared" si="193"/>
        <v>fragment</v>
      </c>
      <c r="B1025" s="6" t="s">
        <v>901</v>
      </c>
      <c r="C1025" s="6" t="str">
        <f t="shared" si="194"/>
        <v>HC86 566</v>
      </c>
      <c r="D1025" s="22" t="s">
        <v>900</v>
      </c>
      <c r="E1025" s="22">
        <v>566</v>
      </c>
      <c r="F1025" s="22"/>
      <c r="G1025" s="22" t="s">
        <v>1168</v>
      </c>
      <c r="H1025" s="22" t="s">
        <v>1194</v>
      </c>
      <c r="I1025" s="6" t="s">
        <v>20</v>
      </c>
      <c r="J1025" s="30"/>
      <c r="K1025" s="8" t="str">
        <f t="shared" si="195"/>
        <v/>
      </c>
      <c r="L1025" s="8" t="str">
        <f t="shared" si="196"/>
        <v/>
      </c>
      <c r="M1025" s="23"/>
      <c r="N1025" s="23"/>
      <c r="O1025" s="23">
        <v>2.085</v>
      </c>
      <c r="P1025" s="23">
        <f>0.65+1.299+1.076+0.501</f>
        <v>3.5259999999999998</v>
      </c>
      <c r="Q1025" s="23">
        <v>4.1779999999999999</v>
      </c>
      <c r="R1025" s="23">
        <f>0.678+2.787+1.964+0.53</f>
        <v>5.9590000000000005</v>
      </c>
      <c r="S1025" s="8"/>
      <c r="T1025" s="8"/>
      <c r="U1025" s="8"/>
      <c r="V1025" s="8">
        <v>1.6911270983213429</v>
      </c>
      <c r="W1025" s="8">
        <v>1.4262805169937771</v>
      </c>
      <c r="X1025" s="8"/>
      <c r="Y1025" s="31">
        <f t="shared" si="197"/>
        <v>-0.1927635963171164</v>
      </c>
      <c r="Z1025" s="31">
        <f t="shared" si="198"/>
        <v>-0.1927635963171164</v>
      </c>
      <c r="AA1025" s="31" t="str">
        <f t="shared" si="199"/>
        <v/>
      </c>
    </row>
    <row r="1026" spans="1:27" x14ac:dyDescent="0.25">
      <c r="A1026" s="6" t="str">
        <f t="shared" ref="A1026:A1094" si="201">IF(J1026&gt;0,"complete","fragment")</f>
        <v>fragment</v>
      </c>
      <c r="B1026" s="6" t="s">
        <v>901</v>
      </c>
      <c r="C1026" s="6" t="str">
        <f t="shared" ref="C1026:C1089" si="202">D1026&amp;" "&amp;E1026</f>
        <v>HC86 567</v>
      </c>
      <c r="D1026" s="22" t="s">
        <v>900</v>
      </c>
      <c r="E1026" s="22">
        <v>567</v>
      </c>
      <c r="F1026" s="6" t="s">
        <v>551</v>
      </c>
      <c r="G1026" s="22" t="s">
        <v>1113</v>
      </c>
      <c r="H1026" s="6" t="s">
        <v>977</v>
      </c>
      <c r="I1026" s="6" t="s">
        <v>20</v>
      </c>
      <c r="J1026" s="30"/>
      <c r="K1026" s="8" t="str">
        <f t="shared" ref="K1026:K1089" si="203">IF(J1026&gt;0,LOG(J1026),"")</f>
        <v/>
      </c>
      <c r="L1026" s="8" t="str">
        <f t="shared" ref="L1026:L1094" si="204">IF(J1026&gt;0,LN(J1026*100),"")</f>
        <v/>
      </c>
      <c r="M1026" s="23"/>
      <c r="N1026" s="23"/>
      <c r="O1026" s="23">
        <v>1.66</v>
      </c>
      <c r="P1026" s="23">
        <f>0.799+1.339</f>
        <v>2.1379999999999999</v>
      </c>
      <c r="Q1026" s="23">
        <v>2.0720000000000001</v>
      </c>
      <c r="R1026" s="23">
        <f>1.092+1.269</f>
        <v>2.3609999999999998</v>
      </c>
      <c r="S1026" s="8"/>
      <c r="T1026" s="8"/>
      <c r="U1026" s="8"/>
      <c r="V1026" s="8">
        <v>1.2879518072289156</v>
      </c>
      <c r="W1026" s="8">
        <v>1.1394787644787643</v>
      </c>
      <c r="X1026" s="8"/>
      <c r="Y1026" s="31">
        <f t="shared" ref="Y1026:Y1089" si="205">IF(COUNT(U1026:X1026)&gt;0,LOG(1/AVERAGE(U1026:X1026)),"")</f>
        <v>-8.4116821595591557E-2</v>
      </c>
      <c r="Z1026" s="31">
        <f t="shared" ref="Z1026:Z1089" si="206">IF(A1026="fragment",IF(ISNUMBER(Y1026)=TRUE,Y1026,""),"")</f>
        <v>-8.4116821595591557E-2</v>
      </c>
      <c r="AA1026" s="31" t="str">
        <f t="shared" ref="AA1026:AA1094" si="207">IF(A1026="complete",IF(ISNUMBER(Y1026)=TRUE,Y1026,""),"")</f>
        <v/>
      </c>
    </row>
    <row r="1027" spans="1:27" x14ac:dyDescent="0.25">
      <c r="A1027" s="6" t="str">
        <f t="shared" si="201"/>
        <v>fragment</v>
      </c>
      <c r="B1027" s="6" t="s">
        <v>901</v>
      </c>
      <c r="C1027" s="6" t="str">
        <f t="shared" si="202"/>
        <v>HC86 567</v>
      </c>
      <c r="D1027" s="22" t="s">
        <v>900</v>
      </c>
      <c r="E1027" s="22">
        <v>567</v>
      </c>
      <c r="F1027" s="6" t="s">
        <v>551</v>
      </c>
      <c r="G1027" s="22" t="s">
        <v>1114</v>
      </c>
      <c r="H1027" s="6" t="s">
        <v>977</v>
      </c>
      <c r="I1027" s="6" t="s">
        <v>20</v>
      </c>
      <c r="J1027" s="30"/>
      <c r="K1027" s="8" t="str">
        <f t="shared" si="203"/>
        <v/>
      </c>
      <c r="L1027" s="8" t="str">
        <f t="shared" si="204"/>
        <v/>
      </c>
      <c r="M1027" s="23"/>
      <c r="N1027" s="23"/>
      <c r="O1027" s="23"/>
      <c r="P1027" s="23"/>
      <c r="Q1027" s="23">
        <v>5.2450000000000001</v>
      </c>
      <c r="R1027" s="23">
        <f>1.011+0.308+1.047+2.809</f>
        <v>5.1749999999999998</v>
      </c>
      <c r="S1027" s="8"/>
      <c r="T1027" s="8"/>
      <c r="U1027" s="8"/>
      <c r="V1027" s="8"/>
      <c r="W1027" s="8">
        <v>0.98665395614871299</v>
      </c>
      <c r="X1027" s="8"/>
      <c r="Y1027" s="31">
        <f t="shared" si="205"/>
        <v>5.8351384006212897E-3</v>
      </c>
      <c r="Z1027" s="31">
        <f t="shared" si="206"/>
        <v>5.8351384006212897E-3</v>
      </c>
      <c r="AA1027" s="31" t="str">
        <f t="shared" si="207"/>
        <v/>
      </c>
    </row>
    <row r="1028" spans="1:27" x14ac:dyDescent="0.25">
      <c r="A1028" s="6" t="str">
        <f t="shared" si="201"/>
        <v>fragment</v>
      </c>
      <c r="B1028" s="6" t="s">
        <v>901</v>
      </c>
      <c r="C1028" s="6" t="str">
        <f t="shared" si="202"/>
        <v>HC86 567</v>
      </c>
      <c r="D1028" s="22" t="s">
        <v>900</v>
      </c>
      <c r="E1028" s="22">
        <v>567</v>
      </c>
      <c r="F1028" s="6" t="s">
        <v>551</v>
      </c>
      <c r="G1028" s="22" t="s">
        <v>1115</v>
      </c>
      <c r="H1028" s="6" t="s">
        <v>977</v>
      </c>
      <c r="I1028" s="6" t="s">
        <v>20</v>
      </c>
      <c r="J1028" s="30"/>
      <c r="K1028" s="8" t="str">
        <f t="shared" si="203"/>
        <v/>
      </c>
      <c r="L1028" s="8" t="str">
        <f t="shared" si="204"/>
        <v/>
      </c>
      <c r="M1028" s="23"/>
      <c r="N1028" s="23"/>
      <c r="O1028" s="23">
        <v>4.4889999999999999</v>
      </c>
      <c r="P1028" s="23">
        <f>1.235+3.146+0.213</f>
        <v>4.5940000000000003</v>
      </c>
      <c r="Q1028" s="23">
        <v>5.1779999999999999</v>
      </c>
      <c r="R1028" s="23">
        <f>1.074+3.478+1.383</f>
        <v>5.9350000000000005</v>
      </c>
      <c r="S1028" s="8"/>
      <c r="T1028" s="8"/>
      <c r="U1028" s="8"/>
      <c r="V1028" s="8">
        <v>1.0233905101358878</v>
      </c>
      <c r="W1028" s="8">
        <v>1.1461954422556972</v>
      </c>
      <c r="X1028" s="8"/>
      <c r="Y1028" s="31">
        <f t="shared" si="205"/>
        <v>-3.5346864567526608E-2</v>
      </c>
      <c r="Z1028" s="31">
        <f t="shared" si="206"/>
        <v>-3.5346864567526608E-2</v>
      </c>
      <c r="AA1028" s="31" t="str">
        <f t="shared" si="207"/>
        <v/>
      </c>
    </row>
    <row r="1029" spans="1:27" x14ac:dyDescent="0.25">
      <c r="A1029" s="6" t="str">
        <f t="shared" si="201"/>
        <v>fragment</v>
      </c>
      <c r="B1029" s="6" t="s">
        <v>901</v>
      </c>
      <c r="C1029" s="6" t="str">
        <f t="shared" si="202"/>
        <v>HC86 567</v>
      </c>
      <c r="D1029" s="22" t="s">
        <v>900</v>
      </c>
      <c r="E1029" s="22">
        <v>567</v>
      </c>
      <c r="F1029" s="6" t="s">
        <v>551</v>
      </c>
      <c r="G1029" s="22" t="s">
        <v>1116</v>
      </c>
      <c r="H1029" s="6" t="s">
        <v>977</v>
      </c>
      <c r="I1029" s="6" t="s">
        <v>20</v>
      </c>
      <c r="J1029" s="30"/>
      <c r="K1029" s="8" t="str">
        <f t="shared" si="203"/>
        <v/>
      </c>
      <c r="L1029" s="8" t="str">
        <f t="shared" si="204"/>
        <v/>
      </c>
      <c r="M1029" s="23"/>
      <c r="N1029" s="23"/>
      <c r="O1029" s="23">
        <v>3.7440000000000002</v>
      </c>
      <c r="P1029" s="23">
        <f>1.341+2.032</f>
        <v>3.3730000000000002</v>
      </c>
      <c r="Q1029" s="23">
        <v>1.4379999999999999</v>
      </c>
      <c r="R1029" s="23">
        <f>0.564+0.469+1.029+0.238</f>
        <v>2.2999999999999998</v>
      </c>
      <c r="S1029" s="8"/>
      <c r="T1029" s="8"/>
      <c r="U1029" s="8"/>
      <c r="V1029" s="8">
        <v>0.90090811965811968</v>
      </c>
      <c r="W1029" s="8">
        <v>1.5994436717663421</v>
      </c>
      <c r="X1029" s="8"/>
      <c r="Y1029" s="31">
        <f t="shared" si="205"/>
        <v>-9.6971121138463817E-2</v>
      </c>
      <c r="Z1029" s="31">
        <f t="shared" si="206"/>
        <v>-9.6971121138463817E-2</v>
      </c>
      <c r="AA1029" s="31" t="str">
        <f t="shared" si="207"/>
        <v/>
      </c>
    </row>
    <row r="1030" spans="1:27" x14ac:dyDescent="0.25">
      <c r="A1030" s="6" t="str">
        <f t="shared" si="201"/>
        <v>fragment</v>
      </c>
      <c r="B1030" s="6" t="s">
        <v>901</v>
      </c>
      <c r="C1030" s="6" t="str">
        <f t="shared" si="202"/>
        <v>HC86 567</v>
      </c>
      <c r="D1030" s="22" t="s">
        <v>900</v>
      </c>
      <c r="E1030" s="22">
        <v>567</v>
      </c>
      <c r="F1030" s="6" t="s">
        <v>551</v>
      </c>
      <c r="G1030" s="22" t="s">
        <v>1117</v>
      </c>
      <c r="H1030" s="6" t="s">
        <v>977</v>
      </c>
      <c r="I1030" s="6" t="s">
        <v>20</v>
      </c>
      <c r="J1030" s="30"/>
      <c r="K1030" s="8" t="str">
        <f t="shared" si="203"/>
        <v/>
      </c>
      <c r="L1030" s="8" t="str">
        <f t="shared" si="204"/>
        <v/>
      </c>
      <c r="M1030" s="23"/>
      <c r="N1030" s="23"/>
      <c r="O1030" s="23"/>
      <c r="P1030" s="23"/>
      <c r="Q1030" s="23">
        <v>5.1100000000000003</v>
      </c>
      <c r="R1030" s="23">
        <f>2.788+0.288</f>
        <v>3.0759999999999996</v>
      </c>
      <c r="S1030" s="8"/>
      <c r="T1030" s="8"/>
      <c r="U1030" s="8"/>
      <c r="V1030" s="8"/>
      <c r="W1030" s="8">
        <v>0.60195694716242654</v>
      </c>
      <c r="X1030" s="8"/>
      <c r="Y1030" s="31">
        <f t="shared" si="205"/>
        <v>0.22043456900531935</v>
      </c>
      <c r="Z1030" s="31">
        <f t="shared" si="206"/>
        <v>0.22043456900531935</v>
      </c>
      <c r="AA1030" s="31" t="str">
        <f t="shared" si="207"/>
        <v/>
      </c>
    </row>
    <row r="1031" spans="1:27" x14ac:dyDescent="0.25">
      <c r="A1031" s="6" t="str">
        <f t="shared" si="201"/>
        <v>fragment</v>
      </c>
      <c r="B1031" s="6" t="s">
        <v>901</v>
      </c>
      <c r="C1031" s="6" t="str">
        <f t="shared" si="202"/>
        <v>HC86 567</v>
      </c>
      <c r="D1031" s="22" t="s">
        <v>900</v>
      </c>
      <c r="E1031" s="22">
        <v>567</v>
      </c>
      <c r="F1031" s="6" t="s">
        <v>551</v>
      </c>
      <c r="G1031" s="22" t="s">
        <v>1118</v>
      </c>
      <c r="H1031" s="6" t="s">
        <v>977</v>
      </c>
      <c r="I1031" s="6" t="s">
        <v>20</v>
      </c>
      <c r="J1031" s="30"/>
      <c r="K1031" s="8" t="str">
        <f t="shared" si="203"/>
        <v/>
      </c>
      <c r="L1031" s="8" t="str">
        <f t="shared" si="204"/>
        <v/>
      </c>
      <c r="M1031" s="23">
        <v>2.0470000000000002</v>
      </c>
      <c r="N1031" s="23">
        <f>0.636+2.4+1.348</f>
        <v>4.3840000000000003</v>
      </c>
      <c r="O1031" s="23">
        <v>4.3129999999999997</v>
      </c>
      <c r="P1031" s="23">
        <f>0.402+1.625+2.343+1.421+0.196</f>
        <v>5.9870000000000001</v>
      </c>
      <c r="Q1031" s="23">
        <v>3.7330000000000001</v>
      </c>
      <c r="R1031" s="23">
        <f>1.902+2.195+1.445+0.24</f>
        <v>5.782</v>
      </c>
      <c r="S1031" s="8"/>
      <c r="T1031" s="8"/>
      <c r="U1031" s="8">
        <v>2.1416707376648754</v>
      </c>
      <c r="V1031" s="8">
        <v>1.3881289125898448</v>
      </c>
      <c r="W1031" s="8">
        <v>1.5488882935976427</v>
      </c>
      <c r="X1031" s="8"/>
      <c r="Y1031" s="31">
        <f t="shared" si="205"/>
        <v>-0.2286302740320558</v>
      </c>
      <c r="Z1031" s="31">
        <f t="shared" si="206"/>
        <v>-0.2286302740320558</v>
      </c>
      <c r="AA1031" s="31" t="str">
        <f t="shared" si="207"/>
        <v/>
      </c>
    </row>
    <row r="1032" spans="1:27" x14ac:dyDescent="0.25">
      <c r="A1032" s="6" t="str">
        <f t="shared" si="201"/>
        <v>complete</v>
      </c>
      <c r="B1032" s="6" t="s">
        <v>901</v>
      </c>
      <c r="C1032" s="6" t="str">
        <f t="shared" si="202"/>
        <v>HC86 567</v>
      </c>
      <c r="D1032" s="22" t="s">
        <v>900</v>
      </c>
      <c r="E1032" s="22">
        <v>567</v>
      </c>
      <c r="F1032" s="6" t="s">
        <v>551</v>
      </c>
      <c r="G1032" s="22" t="s">
        <v>1119</v>
      </c>
      <c r="H1032" s="6" t="s">
        <v>977</v>
      </c>
      <c r="I1032" s="6" t="s">
        <v>20</v>
      </c>
      <c r="J1032" s="30">
        <f>18.081*2</f>
        <v>36.161999999999999</v>
      </c>
      <c r="K1032" s="8">
        <f t="shared" si="203"/>
        <v>1.5582524418515553</v>
      </c>
      <c r="L1032" s="8">
        <f t="shared" si="204"/>
        <v>8.1931790297170526</v>
      </c>
      <c r="M1032" s="23">
        <v>2.7170000000000001</v>
      </c>
      <c r="N1032" s="23">
        <f>0.774+1.905+1.777+0.311</f>
        <v>4.7670000000000003</v>
      </c>
      <c r="O1032" s="23">
        <v>3.931</v>
      </c>
      <c r="P1032" s="23">
        <f>0.958+2.599+0.189+1.743</f>
        <v>5.4890000000000008</v>
      </c>
      <c r="Q1032" s="23">
        <v>2.2320000000000002</v>
      </c>
      <c r="R1032" s="23">
        <f>0.711+2.076+1.335</f>
        <v>4.1219999999999999</v>
      </c>
      <c r="S1032" s="8"/>
      <c r="T1032" s="8"/>
      <c r="U1032" s="8">
        <v>1.7545086492454913</v>
      </c>
      <c r="V1032" s="8">
        <v>1.3963368099720175</v>
      </c>
      <c r="W1032" s="8">
        <v>1.8467741935483868</v>
      </c>
      <c r="X1032" s="8"/>
      <c r="Y1032" s="31">
        <f t="shared" si="205"/>
        <v>-0.22164194605226334</v>
      </c>
      <c r="Z1032" s="31" t="str">
        <f t="shared" si="206"/>
        <v/>
      </c>
      <c r="AA1032" s="31">
        <f t="shared" si="207"/>
        <v>-0.22164194605226334</v>
      </c>
    </row>
    <row r="1033" spans="1:27" x14ac:dyDescent="0.25">
      <c r="A1033" s="6" t="str">
        <f t="shared" si="201"/>
        <v>fragment</v>
      </c>
      <c r="B1033" s="6" t="s">
        <v>901</v>
      </c>
      <c r="C1033" s="6" t="str">
        <f t="shared" si="202"/>
        <v>HC86 567</v>
      </c>
      <c r="D1033" s="22" t="s">
        <v>900</v>
      </c>
      <c r="E1033" s="22">
        <v>567</v>
      </c>
      <c r="F1033" s="6" t="s">
        <v>551</v>
      </c>
      <c r="G1033" s="22" t="s">
        <v>1120</v>
      </c>
      <c r="H1033" s="6" t="s">
        <v>977</v>
      </c>
      <c r="I1033" s="6" t="s">
        <v>20</v>
      </c>
      <c r="J1033" s="30"/>
      <c r="K1033" s="8" t="str">
        <f t="shared" si="203"/>
        <v/>
      </c>
      <c r="L1033" s="8" t="str">
        <f t="shared" si="204"/>
        <v/>
      </c>
      <c r="M1033" s="23"/>
      <c r="N1033" s="23"/>
      <c r="O1033" s="23"/>
      <c r="P1033" s="23"/>
      <c r="Q1033" s="23">
        <v>4.766</v>
      </c>
      <c r="R1033" s="23">
        <f>1.326+3.312+0.962</f>
        <v>5.6</v>
      </c>
      <c r="S1033" s="8"/>
      <c r="T1033" s="8"/>
      <c r="U1033" s="8"/>
      <c r="V1033" s="8"/>
      <c r="W1033" s="8">
        <v>1.1749895090222409</v>
      </c>
      <c r="X1033" s="8"/>
      <c r="Y1033" s="31">
        <f t="shared" si="205"/>
        <v>-7.0033988995763102E-2</v>
      </c>
      <c r="Z1033" s="31">
        <f t="shared" si="206"/>
        <v>-7.0033988995763102E-2</v>
      </c>
      <c r="AA1033" s="31" t="str">
        <f t="shared" si="207"/>
        <v/>
      </c>
    </row>
    <row r="1034" spans="1:27" x14ac:dyDescent="0.25">
      <c r="A1034" s="6" t="str">
        <f t="shared" si="201"/>
        <v>fragment</v>
      </c>
      <c r="B1034" s="6" t="s">
        <v>901</v>
      </c>
      <c r="C1034" s="6" t="str">
        <f t="shared" si="202"/>
        <v>HC86 567</v>
      </c>
      <c r="D1034" s="22" t="s">
        <v>900</v>
      </c>
      <c r="E1034" s="22">
        <v>567</v>
      </c>
      <c r="F1034" s="6" t="s">
        <v>551</v>
      </c>
      <c r="G1034" s="22" t="s">
        <v>1121</v>
      </c>
      <c r="H1034" s="6" t="s">
        <v>977</v>
      </c>
      <c r="I1034" s="6" t="s">
        <v>20</v>
      </c>
      <c r="J1034" s="30"/>
      <c r="K1034" s="8" t="str">
        <f t="shared" si="203"/>
        <v/>
      </c>
      <c r="L1034" s="8" t="str">
        <f t="shared" si="204"/>
        <v/>
      </c>
      <c r="M1034" s="23"/>
      <c r="N1034" s="23"/>
      <c r="O1034" s="23"/>
      <c r="P1034" s="23"/>
      <c r="Q1034" s="23">
        <v>4.3250000000000002</v>
      </c>
      <c r="R1034" s="23">
        <f>2.348+2.042</f>
        <v>4.3899999999999997</v>
      </c>
      <c r="S1034" s="8"/>
      <c r="T1034" s="8"/>
      <c r="U1034" s="8"/>
      <c r="V1034" s="8"/>
      <c r="W1034" s="8">
        <v>1.0150289017341039</v>
      </c>
      <c r="X1034" s="8"/>
      <c r="Y1034" s="31">
        <f t="shared" si="205"/>
        <v>-6.4784084412882669E-3</v>
      </c>
      <c r="Z1034" s="31">
        <f t="shared" si="206"/>
        <v>-6.4784084412882669E-3</v>
      </c>
      <c r="AA1034" s="31" t="str">
        <f t="shared" si="207"/>
        <v/>
      </c>
    </row>
    <row r="1035" spans="1:27" x14ac:dyDescent="0.25">
      <c r="A1035" s="6" t="str">
        <f t="shared" si="201"/>
        <v>complete</v>
      </c>
      <c r="B1035" s="6" t="s">
        <v>901</v>
      </c>
      <c r="C1035" s="6" t="str">
        <f t="shared" si="202"/>
        <v>HC86 571</v>
      </c>
      <c r="D1035" s="6" t="s">
        <v>900</v>
      </c>
      <c r="E1035" s="20">
        <v>571</v>
      </c>
      <c r="F1035" s="6" t="s">
        <v>545</v>
      </c>
      <c r="G1035" s="6" t="s">
        <v>909</v>
      </c>
      <c r="H1035" s="6" t="s">
        <v>977</v>
      </c>
      <c r="I1035" s="6" t="s">
        <v>20</v>
      </c>
      <c r="J1035" s="29">
        <v>88.165999999999997</v>
      </c>
      <c r="K1035" s="8">
        <f t="shared" si="203"/>
        <v>1.9453011377489042</v>
      </c>
      <c r="L1035" s="8">
        <f t="shared" si="204"/>
        <v>9.0843915871530747</v>
      </c>
      <c r="M1035" s="8">
        <v>4.1109999999999998</v>
      </c>
      <c r="N1035" s="8">
        <f>1.274+2.181+1.039</f>
        <v>4.4939999999999998</v>
      </c>
      <c r="O1035" s="8">
        <v>4.9379999999999997</v>
      </c>
      <c r="P1035" s="8">
        <f>0.792+2.548+0.764</f>
        <v>4.1040000000000001</v>
      </c>
      <c r="Q1035" s="8">
        <v>5.5010000000000003</v>
      </c>
      <c r="R1035" s="8">
        <f>1.289+1.509+1.629+0.842</f>
        <v>5.2689999999999992</v>
      </c>
      <c r="S1035" s="8">
        <v>3.7010000000000001</v>
      </c>
      <c r="T1035" s="8">
        <f>1.63+2.096+1.031</f>
        <v>4.7569999999999997</v>
      </c>
      <c r="U1035" s="8">
        <f>N1035/M1035</f>
        <v>1.0931646801264898</v>
      </c>
      <c r="V1035" s="8">
        <f t="shared" ref="V1035:V1041" si="208">P1035/O1035</f>
        <v>0.83110571081409479</v>
      </c>
      <c r="W1035" s="8">
        <f>R1035/Q1035</f>
        <v>0.95782584984548247</v>
      </c>
      <c r="X1035" s="8">
        <f>T1035/S1035</f>
        <v>1.2853282896514455</v>
      </c>
      <c r="Y1035" s="31">
        <f t="shared" si="205"/>
        <v>-1.7807752430313326E-2</v>
      </c>
      <c r="Z1035" s="31" t="str">
        <f t="shared" si="206"/>
        <v/>
      </c>
      <c r="AA1035" s="31">
        <f t="shared" si="207"/>
        <v>-1.7807752430313326E-2</v>
      </c>
    </row>
    <row r="1036" spans="1:27" x14ac:dyDescent="0.25">
      <c r="A1036" s="6" t="str">
        <f t="shared" si="201"/>
        <v>complete</v>
      </c>
      <c r="B1036" s="6" t="s">
        <v>901</v>
      </c>
      <c r="C1036" s="6" t="str">
        <f t="shared" si="202"/>
        <v>HC86 571</v>
      </c>
      <c r="D1036" s="6" t="s">
        <v>900</v>
      </c>
      <c r="E1036" s="20">
        <v>571</v>
      </c>
      <c r="F1036" s="6" t="s">
        <v>545</v>
      </c>
      <c r="G1036" s="6" t="s">
        <v>910</v>
      </c>
      <c r="H1036" s="6" t="s">
        <v>977</v>
      </c>
      <c r="I1036" s="6" t="s">
        <v>20</v>
      </c>
      <c r="J1036" s="29">
        <v>44.722999999999999</v>
      </c>
      <c r="K1036" s="8">
        <f t="shared" si="203"/>
        <v>1.6505309281463967</v>
      </c>
      <c r="L1036" s="8">
        <f t="shared" si="204"/>
        <v>8.4056580966636112</v>
      </c>
      <c r="M1036" s="8">
        <v>2.7330000000000001</v>
      </c>
      <c r="N1036" s="8">
        <f>1.733+0.852+1.177+1.237+0.343</f>
        <v>5.3420000000000005</v>
      </c>
      <c r="O1036" s="8">
        <v>2.8359999999999999</v>
      </c>
      <c r="P1036" s="8">
        <f>0.547+1.255+1.269+1.13+0.306</f>
        <v>4.5069999999999997</v>
      </c>
      <c r="Q1036" s="8">
        <v>3.766</v>
      </c>
      <c r="R1036" s="8">
        <f>0.926+1.482+1.413</f>
        <v>3.8209999999999997</v>
      </c>
      <c r="S1036" s="8">
        <v>3.867</v>
      </c>
      <c r="T1036" s="8">
        <f>0.532+1.672+1.57+1.413+0.084</f>
        <v>5.2709999999999999</v>
      </c>
      <c r="U1036" s="8">
        <f>N1036/M1036</f>
        <v>1.954628613245518</v>
      </c>
      <c r="V1036" s="8">
        <f t="shared" si="208"/>
        <v>1.5892101551480959</v>
      </c>
      <c r="W1036" s="8">
        <f>R1036/Q1036</f>
        <v>1.0146043547530537</v>
      </c>
      <c r="X1036" s="8">
        <f>T1036/S1036</f>
        <v>1.3630721489526765</v>
      </c>
      <c r="Y1036" s="31">
        <f t="shared" si="205"/>
        <v>-0.17037286237231589</v>
      </c>
      <c r="Z1036" s="31" t="str">
        <f t="shared" si="206"/>
        <v/>
      </c>
      <c r="AA1036" s="31">
        <f t="shared" si="207"/>
        <v>-0.17037286237231589</v>
      </c>
    </row>
    <row r="1037" spans="1:27" x14ac:dyDescent="0.25">
      <c r="A1037" s="6" t="str">
        <f t="shared" si="201"/>
        <v>fragment</v>
      </c>
      <c r="B1037" s="6" t="s">
        <v>901</v>
      </c>
      <c r="C1037" s="6" t="str">
        <f t="shared" si="202"/>
        <v>HC86 571</v>
      </c>
      <c r="D1037" s="6" t="s">
        <v>900</v>
      </c>
      <c r="E1037" s="20">
        <v>571</v>
      </c>
      <c r="F1037" s="6" t="s">
        <v>545</v>
      </c>
      <c r="G1037" s="6" t="s">
        <v>911</v>
      </c>
      <c r="H1037" s="6" t="s">
        <v>977</v>
      </c>
      <c r="I1037" s="6" t="s">
        <v>20</v>
      </c>
      <c r="J1037" s="29"/>
      <c r="K1037" s="8" t="str">
        <f t="shared" si="203"/>
        <v/>
      </c>
      <c r="L1037" s="8" t="str">
        <f t="shared" si="204"/>
        <v/>
      </c>
      <c r="M1037" s="8"/>
      <c r="N1037" s="8"/>
      <c r="O1037" s="8">
        <v>18.466999999999999</v>
      </c>
      <c r="P1037" s="8">
        <f>2.101+2.864+4.163+1.165</f>
        <v>10.292999999999999</v>
      </c>
      <c r="Q1037" s="8"/>
      <c r="R1037" s="8"/>
      <c r="S1037" s="8"/>
      <c r="T1037" s="8"/>
      <c r="U1037" s="8"/>
      <c r="V1037" s="8">
        <f t="shared" si="208"/>
        <v>0.55737261060269672</v>
      </c>
      <c r="W1037" s="8"/>
      <c r="X1037" s="8"/>
      <c r="Y1037" s="31">
        <f t="shared" si="205"/>
        <v>0.25385437641275688</v>
      </c>
      <c r="Z1037" s="31">
        <f t="shared" si="206"/>
        <v>0.25385437641275688</v>
      </c>
      <c r="AA1037" s="31" t="str">
        <f t="shared" si="207"/>
        <v/>
      </c>
    </row>
    <row r="1038" spans="1:27" x14ac:dyDescent="0.25">
      <c r="A1038" s="6" t="str">
        <f t="shared" si="201"/>
        <v>fragment</v>
      </c>
      <c r="B1038" s="6" t="s">
        <v>901</v>
      </c>
      <c r="C1038" s="6" t="str">
        <f t="shared" si="202"/>
        <v>HC86 571</v>
      </c>
      <c r="D1038" s="6" t="s">
        <v>900</v>
      </c>
      <c r="E1038" s="20">
        <v>571</v>
      </c>
      <c r="F1038" s="6" t="s">
        <v>545</v>
      </c>
      <c r="G1038" s="6" t="s">
        <v>912</v>
      </c>
      <c r="H1038" s="6" t="s">
        <v>977</v>
      </c>
      <c r="I1038" s="6" t="s">
        <v>20</v>
      </c>
      <c r="J1038" s="29"/>
      <c r="K1038" s="8" t="str">
        <f t="shared" si="203"/>
        <v/>
      </c>
      <c r="L1038" s="8" t="str">
        <f t="shared" si="204"/>
        <v/>
      </c>
      <c r="M1038" s="8"/>
      <c r="N1038" s="8"/>
      <c r="O1038" s="8">
        <v>5.7469999999999999</v>
      </c>
      <c r="P1038" s="8">
        <f>1.087+1.826+1.85+0.937</f>
        <v>5.7</v>
      </c>
      <c r="Q1038" s="8"/>
      <c r="R1038" s="8"/>
      <c r="S1038" s="8">
        <v>7.6050000000000004</v>
      </c>
      <c r="T1038" s="8">
        <f>1.174+1.807+2.048+0.942</f>
        <v>5.9710000000000001</v>
      </c>
      <c r="U1038" s="8"/>
      <c r="V1038" s="8">
        <f t="shared" si="208"/>
        <v>0.99182182008004183</v>
      </c>
      <c r="W1038" s="8"/>
      <c r="X1038" s="8">
        <f>T1038/S1038</f>
        <v>0.78514135437212362</v>
      </c>
      <c r="Y1038" s="31">
        <f t="shared" si="205"/>
        <v>5.1351568026342186E-2</v>
      </c>
      <c r="Z1038" s="31">
        <f t="shared" si="206"/>
        <v>5.1351568026342186E-2</v>
      </c>
      <c r="AA1038" s="31" t="str">
        <f t="shared" si="207"/>
        <v/>
      </c>
    </row>
    <row r="1039" spans="1:27" x14ac:dyDescent="0.25">
      <c r="A1039" s="6" t="str">
        <f t="shared" si="201"/>
        <v>complete</v>
      </c>
      <c r="B1039" s="6" t="s">
        <v>901</v>
      </c>
      <c r="C1039" s="6" t="str">
        <f t="shared" si="202"/>
        <v>HC86 571</v>
      </c>
      <c r="D1039" s="6" t="s">
        <v>900</v>
      </c>
      <c r="E1039" s="20">
        <v>571</v>
      </c>
      <c r="F1039" s="6" t="s">
        <v>545</v>
      </c>
      <c r="G1039" s="6" t="s">
        <v>915</v>
      </c>
      <c r="H1039" s="6" t="s">
        <v>977</v>
      </c>
      <c r="I1039" s="8" t="s">
        <v>20</v>
      </c>
      <c r="J1039" s="29">
        <v>100.76596000000001</v>
      </c>
      <c r="K1039" s="8">
        <f t="shared" si="203"/>
        <v>2.0033138467832288</v>
      </c>
      <c r="L1039" s="8">
        <f t="shared" si="204"/>
        <v>9.2179707861797127</v>
      </c>
      <c r="M1039" s="8">
        <v>15.645</v>
      </c>
      <c r="N1039" s="8">
        <f>1.181+3.177+4.429+4.008+2.713+0.52+0.518</f>
        <v>16.546000000000003</v>
      </c>
      <c r="O1039" s="8">
        <v>13.252000000000001</v>
      </c>
      <c r="P1039" s="8">
        <f>1.688+4.176+4.148+2.122+0.422</f>
        <v>12.556000000000001</v>
      </c>
      <c r="Q1039" s="8"/>
      <c r="R1039" s="8"/>
      <c r="S1039" s="8"/>
      <c r="T1039" s="8"/>
      <c r="U1039" s="8">
        <f>N1039/M1039</f>
        <v>1.0575902844359222</v>
      </c>
      <c r="V1039" s="8">
        <f t="shared" si="208"/>
        <v>0.94747962571687294</v>
      </c>
      <c r="W1039" s="8"/>
      <c r="X1039" s="8"/>
      <c r="Y1039" s="31">
        <f t="shared" si="205"/>
        <v>-1.0995239676701105E-3</v>
      </c>
      <c r="Z1039" s="31" t="str">
        <f t="shared" si="206"/>
        <v/>
      </c>
      <c r="AA1039" s="31">
        <f t="shared" si="207"/>
        <v>-1.0995239676701105E-3</v>
      </c>
    </row>
    <row r="1040" spans="1:27" x14ac:dyDescent="0.25">
      <c r="A1040" s="6" t="str">
        <f t="shared" si="201"/>
        <v>complete</v>
      </c>
      <c r="B1040" s="6" t="s">
        <v>901</v>
      </c>
      <c r="C1040" s="6" t="str">
        <f t="shared" si="202"/>
        <v>HC86 571</v>
      </c>
      <c r="D1040" s="6" t="s">
        <v>900</v>
      </c>
      <c r="E1040" s="20">
        <v>571</v>
      </c>
      <c r="F1040" s="6" t="s">
        <v>545</v>
      </c>
      <c r="G1040" s="6" t="s">
        <v>981</v>
      </c>
      <c r="H1040" s="6" t="s">
        <v>977</v>
      </c>
      <c r="I1040" s="8" t="s">
        <v>20</v>
      </c>
      <c r="J1040" s="29">
        <v>44.786999999999999</v>
      </c>
      <c r="K1040" s="8">
        <f t="shared" si="203"/>
        <v>1.651151972757688</v>
      </c>
      <c r="L1040" s="8">
        <f t="shared" si="204"/>
        <v>8.407088104727654</v>
      </c>
      <c r="M1040" s="8">
        <v>1.2569999999999999</v>
      </c>
      <c r="N1040" s="8">
        <f>0.234 + 0.972 + 1.002 + 0.534</f>
        <v>2.742</v>
      </c>
      <c r="O1040" s="8">
        <v>5.7080000000000002</v>
      </c>
      <c r="P1040" s="8">
        <f>1.402 + 1.346 + 2.363 + 0.484 + 1.944 + 0.687</f>
        <v>8.2260000000000009</v>
      </c>
      <c r="Q1040" s="8"/>
      <c r="R1040" s="8"/>
      <c r="S1040" s="8">
        <v>6.2210000000000001</v>
      </c>
      <c r="T1040" s="8">
        <f>0.767 + 2.127 + 2.256 + 2.276 + 1.029</f>
        <v>8.4549999999999983</v>
      </c>
      <c r="U1040" s="8">
        <f>N1040/M1040</f>
        <v>2.1813842482100241</v>
      </c>
      <c r="V1040" s="8">
        <f t="shared" si="208"/>
        <v>1.4411352487736511</v>
      </c>
      <c r="W1040" s="8"/>
      <c r="X1040" s="8">
        <f>T1040/S1040</f>
        <v>1.3591062530139846</v>
      </c>
      <c r="Y1040" s="31">
        <f t="shared" si="205"/>
        <v>-0.22024984286540705</v>
      </c>
      <c r="Z1040" s="31" t="str">
        <f t="shared" si="206"/>
        <v/>
      </c>
      <c r="AA1040" s="31">
        <f t="shared" si="207"/>
        <v>-0.22024984286540705</v>
      </c>
    </row>
    <row r="1041" spans="1:27" x14ac:dyDescent="0.25">
      <c r="A1041" s="6" t="str">
        <f t="shared" si="201"/>
        <v>fragment</v>
      </c>
      <c r="B1041" s="6" t="s">
        <v>901</v>
      </c>
      <c r="C1041" s="6" t="str">
        <f t="shared" si="202"/>
        <v>HC86 571</v>
      </c>
      <c r="D1041" s="6" t="s">
        <v>900</v>
      </c>
      <c r="E1041" s="20">
        <v>571</v>
      </c>
      <c r="F1041" s="6" t="s">
        <v>545</v>
      </c>
      <c r="G1041" s="6" t="s">
        <v>982</v>
      </c>
      <c r="H1041" s="6" t="s">
        <v>977</v>
      </c>
      <c r="I1041" s="8" t="s">
        <v>20</v>
      </c>
      <c r="J1041" s="29"/>
      <c r="K1041" s="8" t="str">
        <f t="shared" si="203"/>
        <v/>
      </c>
      <c r="L1041" s="8" t="str">
        <f t="shared" si="204"/>
        <v/>
      </c>
      <c r="M1041" s="8">
        <v>2.819</v>
      </c>
      <c r="N1041" s="8">
        <f>1.287+1.36</f>
        <v>2.6470000000000002</v>
      </c>
      <c r="O1041" s="8">
        <v>25.227</v>
      </c>
      <c r="P1041" s="8">
        <f>1.231+3.948+3.926+4.329+2.969</f>
        <v>16.403000000000002</v>
      </c>
      <c r="Q1041" s="8">
        <v>10.680999999999999</v>
      </c>
      <c r="R1041" s="8">
        <f>2.302+3.066+0.781</f>
        <v>6.149</v>
      </c>
      <c r="S1041" s="8"/>
      <c r="T1041" s="8"/>
      <c r="U1041" s="8">
        <f>N1041/M1041</f>
        <v>0.93898545583540272</v>
      </c>
      <c r="V1041" s="8">
        <f t="shared" si="208"/>
        <v>0.65021603837158604</v>
      </c>
      <c r="W1041" s="8">
        <f>R1041/Q1041</f>
        <v>0.57569515962924822</v>
      </c>
      <c r="X1041" s="8"/>
      <c r="Y1041" s="31">
        <f t="shared" si="205"/>
        <v>0.14168408554987089</v>
      </c>
      <c r="Z1041" s="31">
        <f t="shared" si="206"/>
        <v>0.14168408554987089</v>
      </c>
      <c r="AA1041" s="31" t="str">
        <f t="shared" si="207"/>
        <v/>
      </c>
    </row>
    <row r="1042" spans="1:27" x14ac:dyDescent="0.25">
      <c r="A1042" s="6" t="str">
        <f t="shared" si="201"/>
        <v>fragment</v>
      </c>
      <c r="B1042" s="6" t="s">
        <v>901</v>
      </c>
      <c r="C1042" s="6" t="str">
        <f t="shared" si="202"/>
        <v>HC86 571</v>
      </c>
      <c r="D1042" s="22" t="s">
        <v>900</v>
      </c>
      <c r="E1042" s="22">
        <v>571</v>
      </c>
      <c r="F1042" s="6" t="s">
        <v>545</v>
      </c>
      <c r="G1042" s="22" t="s">
        <v>1122</v>
      </c>
      <c r="H1042" s="6" t="s">
        <v>977</v>
      </c>
      <c r="I1042" s="6" t="s">
        <v>20</v>
      </c>
      <c r="J1042" s="30"/>
      <c r="K1042" s="8" t="str">
        <f t="shared" si="203"/>
        <v/>
      </c>
      <c r="L1042" s="8" t="str">
        <f t="shared" si="204"/>
        <v/>
      </c>
      <c r="M1042" s="23">
        <v>4.2430000000000003</v>
      </c>
      <c r="N1042" s="23">
        <f>1.683+1.922</f>
        <v>3.605</v>
      </c>
      <c r="O1042" s="23">
        <v>6.0529999999999999</v>
      </c>
      <c r="P1042" s="23">
        <f>1.707+3.487+0.923</f>
        <v>6.117</v>
      </c>
      <c r="Q1042" s="23">
        <v>3.9169999999999998</v>
      </c>
      <c r="R1042" s="23">
        <f>1.163+2.109+1.661</f>
        <v>4.9329999999999998</v>
      </c>
      <c r="S1042" s="8"/>
      <c r="T1042" s="8"/>
      <c r="U1042" s="8">
        <v>0.8496346924345981</v>
      </c>
      <c r="V1042" s="8">
        <v>1.0105732694531637</v>
      </c>
      <c r="W1042" s="8">
        <v>1.2593821802399796</v>
      </c>
      <c r="X1042" s="8"/>
      <c r="Y1042" s="31">
        <f t="shared" si="205"/>
        <v>-1.697628458573407E-2</v>
      </c>
      <c r="Z1042" s="31">
        <f t="shared" si="206"/>
        <v>-1.697628458573407E-2</v>
      </c>
      <c r="AA1042" s="31" t="str">
        <f t="shared" si="207"/>
        <v/>
      </c>
    </row>
    <row r="1043" spans="1:27" x14ac:dyDescent="0.25">
      <c r="A1043" s="6" t="str">
        <f t="shared" si="201"/>
        <v>fragment</v>
      </c>
      <c r="B1043" s="6" t="s">
        <v>901</v>
      </c>
      <c r="C1043" s="6" t="str">
        <f t="shared" si="202"/>
        <v>HC86 572</v>
      </c>
      <c r="D1043" s="22" t="s">
        <v>900</v>
      </c>
      <c r="E1043" s="22">
        <v>572</v>
      </c>
      <c r="F1043" s="22"/>
      <c r="G1043" s="22" t="s">
        <v>1159</v>
      </c>
      <c r="H1043" s="22" t="s">
        <v>977</v>
      </c>
      <c r="I1043" s="6" t="s">
        <v>20</v>
      </c>
      <c r="J1043" s="30"/>
      <c r="K1043" s="8" t="str">
        <f t="shared" si="203"/>
        <v/>
      </c>
      <c r="L1043" s="8" t="str">
        <f t="shared" si="204"/>
        <v/>
      </c>
      <c r="M1043" s="23">
        <v>4.8220000000000001</v>
      </c>
      <c r="N1043" s="23">
        <f>2.243+2.637+0.642</f>
        <v>5.5220000000000002</v>
      </c>
      <c r="O1043" s="23">
        <v>4.8529999999999998</v>
      </c>
      <c r="P1043" s="23">
        <f>1.603+2.016+1.558</f>
        <v>5.1769999999999996</v>
      </c>
      <c r="Q1043" s="23">
        <v>3.383</v>
      </c>
      <c r="R1043" s="23">
        <f>0.803+1.912+0.829</f>
        <v>3.5439999999999996</v>
      </c>
      <c r="S1043" s="8"/>
      <c r="T1043" s="8"/>
      <c r="U1043" s="8">
        <v>1.1451679800912484</v>
      </c>
      <c r="V1043" s="8">
        <v>1.0667628271172471</v>
      </c>
      <c r="W1043" s="8">
        <v>1.0475908956547442</v>
      </c>
      <c r="X1043" s="8"/>
      <c r="Y1043" s="31">
        <f t="shared" si="205"/>
        <v>-3.6032622327771331E-2</v>
      </c>
      <c r="Z1043" s="31">
        <f t="shared" si="206"/>
        <v>-3.6032622327771331E-2</v>
      </c>
      <c r="AA1043" s="31" t="str">
        <f t="shared" si="207"/>
        <v/>
      </c>
    </row>
    <row r="1044" spans="1:27" x14ac:dyDescent="0.25">
      <c r="A1044" s="6" t="str">
        <f t="shared" si="201"/>
        <v>complete</v>
      </c>
      <c r="B1044" s="6" t="s">
        <v>901</v>
      </c>
      <c r="C1044" s="6" t="str">
        <f t="shared" si="202"/>
        <v>HC86 572</v>
      </c>
      <c r="D1044" s="22" t="s">
        <v>900</v>
      </c>
      <c r="E1044" s="22">
        <v>572</v>
      </c>
      <c r="F1044" s="22"/>
      <c r="G1044" s="22" t="s">
        <v>1160</v>
      </c>
      <c r="H1044" s="22" t="s">
        <v>977</v>
      </c>
      <c r="I1044" s="6" t="s">
        <v>20</v>
      </c>
      <c r="J1044" s="30">
        <f>9.436*2</f>
        <v>18.872</v>
      </c>
      <c r="K1044" s="8">
        <f t="shared" si="203"/>
        <v>1.275817927877539</v>
      </c>
      <c r="L1044" s="8">
        <f t="shared" si="204"/>
        <v>7.5428495280934653</v>
      </c>
      <c r="M1044" s="23">
        <v>1.1040000000000001</v>
      </c>
      <c r="N1044" s="23">
        <f>0.726+1.381+0.564</f>
        <v>2.6710000000000003</v>
      </c>
      <c r="O1044" s="23">
        <v>1.7030000000000001</v>
      </c>
      <c r="P1044" s="23">
        <f>0.255+1.111+1.269+0.547</f>
        <v>3.1819999999999999</v>
      </c>
      <c r="Q1044" s="23">
        <v>1.2749999999999999</v>
      </c>
      <c r="R1044" s="23">
        <f>0.943+1.2+0.444</f>
        <v>2.5869999999999997</v>
      </c>
      <c r="S1044" s="8"/>
      <c r="T1044" s="8"/>
      <c r="U1044" s="8">
        <v>2.4193840579710146</v>
      </c>
      <c r="V1044" s="8">
        <v>1.8684674104521433</v>
      </c>
      <c r="W1044" s="8">
        <v>2.0290196078431371</v>
      </c>
      <c r="X1044" s="8"/>
      <c r="Y1044" s="31">
        <f t="shared" si="205"/>
        <v>-0.32338075856262682</v>
      </c>
      <c r="Z1044" s="31" t="str">
        <f t="shared" si="206"/>
        <v/>
      </c>
      <c r="AA1044" s="31">
        <f t="shared" si="207"/>
        <v>-0.32338075856262682</v>
      </c>
    </row>
    <row r="1045" spans="1:27" x14ac:dyDescent="0.25">
      <c r="A1045" s="6" t="str">
        <f t="shared" si="201"/>
        <v>fragment</v>
      </c>
      <c r="B1045" s="6" t="s">
        <v>901</v>
      </c>
      <c r="C1045" s="6" t="str">
        <f t="shared" si="202"/>
        <v>HC86 572</v>
      </c>
      <c r="D1045" s="22" t="s">
        <v>900</v>
      </c>
      <c r="E1045" s="22">
        <v>572</v>
      </c>
      <c r="F1045" s="22"/>
      <c r="G1045" s="22" t="s">
        <v>1161</v>
      </c>
      <c r="H1045" s="22" t="s">
        <v>977</v>
      </c>
      <c r="I1045" s="6" t="s">
        <v>20</v>
      </c>
      <c r="J1045" s="30"/>
      <c r="K1045" s="8" t="str">
        <f t="shared" si="203"/>
        <v/>
      </c>
      <c r="L1045" s="8" t="str">
        <f t="shared" si="204"/>
        <v/>
      </c>
      <c r="M1045" s="23">
        <v>2.222</v>
      </c>
      <c r="N1045" s="23">
        <f>0.587+1.412+1.242+0.273</f>
        <v>3.5139999999999998</v>
      </c>
      <c r="O1045" s="23">
        <v>2.8690000000000002</v>
      </c>
      <c r="P1045" s="23">
        <f>0.679+1.778+1.34+0.275</f>
        <v>4.0720000000000001</v>
      </c>
      <c r="Q1045" s="23">
        <v>3.0449999999999999</v>
      </c>
      <c r="R1045" s="23">
        <f>0.371+2.085+1.113</f>
        <v>3.569</v>
      </c>
      <c r="S1045" s="8"/>
      <c r="T1045" s="8"/>
      <c r="U1045" s="8">
        <v>1.5814581458145813</v>
      </c>
      <c r="V1045" s="8">
        <v>1.4193098640641337</v>
      </c>
      <c r="W1045" s="8">
        <v>1.1720853858784894</v>
      </c>
      <c r="X1045" s="8"/>
      <c r="Y1045" s="31">
        <f t="shared" si="205"/>
        <v>-0.14331187225610087</v>
      </c>
      <c r="Z1045" s="31">
        <f t="shared" si="206"/>
        <v>-0.14331187225610087</v>
      </c>
      <c r="AA1045" s="31" t="str">
        <f t="shared" si="207"/>
        <v/>
      </c>
    </row>
    <row r="1046" spans="1:27" x14ac:dyDescent="0.25">
      <c r="A1046" s="6" t="str">
        <f t="shared" si="201"/>
        <v>fragment</v>
      </c>
      <c r="B1046" s="6" t="s">
        <v>901</v>
      </c>
      <c r="C1046" s="6" t="str">
        <f t="shared" si="202"/>
        <v>HC86 572</v>
      </c>
      <c r="D1046" s="22" t="s">
        <v>900</v>
      </c>
      <c r="E1046" s="22">
        <v>572</v>
      </c>
      <c r="F1046" s="22"/>
      <c r="G1046" s="22" t="s">
        <v>1162</v>
      </c>
      <c r="H1046" s="22" t="s">
        <v>977</v>
      </c>
      <c r="I1046" s="6" t="s">
        <v>20</v>
      </c>
      <c r="J1046" s="30"/>
      <c r="K1046" s="8" t="str">
        <f t="shared" si="203"/>
        <v/>
      </c>
      <c r="L1046" s="8" t="str">
        <f t="shared" si="204"/>
        <v/>
      </c>
      <c r="M1046" s="23"/>
      <c r="N1046" s="23"/>
      <c r="O1046" s="23">
        <v>0.2</v>
      </c>
      <c r="P1046" s="23">
        <f>0.178+0.432</f>
        <v>0.61</v>
      </c>
      <c r="Q1046" s="23">
        <v>0.995</v>
      </c>
      <c r="R1046" s="23">
        <f>0.503+1.688+0.993+0.172</f>
        <v>3.3559999999999999</v>
      </c>
      <c r="S1046" s="8"/>
      <c r="T1046" s="8"/>
      <c r="U1046" s="8"/>
      <c r="V1046" s="8">
        <v>3.05</v>
      </c>
      <c r="W1046" s="8">
        <v>3.3728643216080401</v>
      </c>
      <c r="X1046" s="8"/>
      <c r="Y1046" s="31">
        <f t="shared" si="205"/>
        <v>-0.506698752288263</v>
      </c>
      <c r="Z1046" s="31">
        <f t="shared" si="206"/>
        <v>-0.506698752288263</v>
      </c>
      <c r="AA1046" s="31" t="str">
        <f t="shared" si="207"/>
        <v/>
      </c>
    </row>
    <row r="1047" spans="1:27" x14ac:dyDescent="0.25">
      <c r="A1047" s="6" t="str">
        <f t="shared" si="201"/>
        <v>fragment</v>
      </c>
      <c r="B1047" s="6" t="s">
        <v>901</v>
      </c>
      <c r="C1047" s="6" t="str">
        <f t="shared" si="202"/>
        <v>HC86 572</v>
      </c>
      <c r="D1047" s="22" t="s">
        <v>900</v>
      </c>
      <c r="E1047" s="22">
        <v>572</v>
      </c>
      <c r="F1047" s="22"/>
      <c r="G1047" s="22" t="s">
        <v>1163</v>
      </c>
      <c r="H1047" s="22" t="s">
        <v>977</v>
      </c>
      <c r="I1047" s="6" t="s">
        <v>20</v>
      </c>
      <c r="J1047" s="30"/>
      <c r="K1047" s="8" t="str">
        <f t="shared" si="203"/>
        <v/>
      </c>
      <c r="L1047" s="8" t="str">
        <f t="shared" si="204"/>
        <v/>
      </c>
      <c r="M1047" s="23">
        <v>4.12</v>
      </c>
      <c r="N1047" s="23">
        <f>0.872+2.391+1.776+0.542</f>
        <v>5.5809999999999995</v>
      </c>
      <c r="O1047" s="23">
        <v>4.1719999999999997</v>
      </c>
      <c r="P1047" s="23">
        <f>0.515+2.388+1.643+0.161</f>
        <v>4.7069999999999999</v>
      </c>
      <c r="Q1047" s="23">
        <v>4.6859999999999999</v>
      </c>
      <c r="R1047" s="23">
        <f>1.138+1.655+1.838+0.875</f>
        <v>5.5060000000000002</v>
      </c>
      <c r="S1047" s="8"/>
      <c r="T1047" s="8"/>
      <c r="U1047" s="8">
        <v>1.3546116504854366</v>
      </c>
      <c r="V1047" s="8">
        <v>1.1282358581016299</v>
      </c>
      <c r="W1047" s="8">
        <v>1.1749893299189074</v>
      </c>
      <c r="X1047" s="8"/>
      <c r="Y1047" s="31">
        <f t="shared" si="205"/>
        <v>-8.6103074710269498E-2</v>
      </c>
      <c r="Z1047" s="31">
        <f t="shared" si="206"/>
        <v>-8.6103074710269498E-2</v>
      </c>
      <c r="AA1047" s="31" t="str">
        <f t="shared" si="207"/>
        <v/>
      </c>
    </row>
    <row r="1048" spans="1:27" x14ac:dyDescent="0.25">
      <c r="A1048" s="6" t="str">
        <f t="shared" si="201"/>
        <v>complete</v>
      </c>
      <c r="B1048" s="6" t="s">
        <v>901</v>
      </c>
      <c r="C1048" s="6" t="str">
        <f t="shared" si="202"/>
        <v>HC86 572</v>
      </c>
      <c r="D1048" s="22" t="s">
        <v>900</v>
      </c>
      <c r="E1048" s="22">
        <v>572</v>
      </c>
      <c r="F1048" s="22"/>
      <c r="G1048" s="22" t="s">
        <v>1164</v>
      </c>
      <c r="H1048" s="22" t="s">
        <v>977</v>
      </c>
      <c r="I1048" s="6" t="s">
        <v>20</v>
      </c>
      <c r="J1048" s="30">
        <f>21.512*2</f>
        <v>43.024000000000001</v>
      </c>
      <c r="K1048" s="8">
        <f t="shared" si="203"/>
        <v>1.6337107848792265</v>
      </c>
      <c r="L1048" s="8">
        <f t="shared" si="204"/>
        <v>8.3669282855146001</v>
      </c>
      <c r="M1048" s="23">
        <v>2.8759999999999999</v>
      </c>
      <c r="N1048" s="23">
        <f>0.353+2.095+1.749+0.754</f>
        <v>4.9510000000000005</v>
      </c>
      <c r="O1048" s="23">
        <v>4.101</v>
      </c>
      <c r="P1048" s="23">
        <f>1.071+2.895+2.522+0.845</f>
        <v>7.3329999999999993</v>
      </c>
      <c r="Q1048" s="23">
        <v>3.5950000000000002</v>
      </c>
      <c r="R1048" s="23">
        <f>1.346+1.927+1.119</f>
        <v>4.3920000000000003</v>
      </c>
      <c r="S1048" s="8"/>
      <c r="T1048" s="8"/>
      <c r="U1048" s="8">
        <v>1.7214881780250351</v>
      </c>
      <c r="V1048" s="8">
        <v>1.7881004633016335</v>
      </c>
      <c r="W1048" s="8">
        <v>1.2216968011126565</v>
      </c>
      <c r="X1048" s="8"/>
      <c r="Y1048" s="31">
        <f t="shared" si="205"/>
        <v>-0.19785789547152294</v>
      </c>
      <c r="Z1048" s="31" t="str">
        <f t="shared" si="206"/>
        <v/>
      </c>
      <c r="AA1048" s="31">
        <f t="shared" si="207"/>
        <v>-0.19785789547152294</v>
      </c>
    </row>
    <row r="1049" spans="1:27" x14ac:dyDescent="0.25">
      <c r="A1049" s="6" t="str">
        <f t="shared" si="201"/>
        <v>complete</v>
      </c>
      <c r="B1049" s="6" t="s">
        <v>901</v>
      </c>
      <c r="C1049" s="6" t="str">
        <f t="shared" si="202"/>
        <v>HC86 572</v>
      </c>
      <c r="D1049" s="22" t="s">
        <v>900</v>
      </c>
      <c r="E1049" s="22">
        <v>572</v>
      </c>
      <c r="F1049" s="22"/>
      <c r="G1049" s="22" t="s">
        <v>1165</v>
      </c>
      <c r="H1049" s="22" t="s">
        <v>977</v>
      </c>
      <c r="I1049" s="6" t="s">
        <v>20</v>
      </c>
      <c r="J1049" s="30">
        <f>18.805*2</f>
        <v>37.61</v>
      </c>
      <c r="K1049" s="8">
        <f t="shared" si="203"/>
        <v>1.5753033334223991</v>
      </c>
      <c r="L1049" s="8">
        <f t="shared" si="204"/>
        <v>8.2324401584703359</v>
      </c>
      <c r="M1049" s="23">
        <v>2.9769999999999999</v>
      </c>
      <c r="N1049" s="23">
        <f>1.087+1.994+1.765+0.211</f>
        <v>5.0570000000000004</v>
      </c>
      <c r="O1049" s="23">
        <v>3.0960000000000001</v>
      </c>
      <c r="P1049" s="23">
        <f>0.935+2.902+1.476</f>
        <v>5.3130000000000006</v>
      </c>
      <c r="Q1049" s="23">
        <v>3.31</v>
      </c>
      <c r="R1049" s="23">
        <f>0.912+2.502+1.187</f>
        <v>4.601</v>
      </c>
      <c r="S1049" s="8"/>
      <c r="T1049" s="8"/>
      <c r="U1049" s="8">
        <v>1.698689956331878</v>
      </c>
      <c r="V1049" s="8">
        <v>1.7160852713178296</v>
      </c>
      <c r="W1049" s="8">
        <v>1.3900302114803624</v>
      </c>
      <c r="X1049" s="8"/>
      <c r="Y1049" s="31">
        <f t="shared" si="205"/>
        <v>-0.20455455176503839</v>
      </c>
      <c r="Z1049" s="31" t="str">
        <f t="shared" si="206"/>
        <v/>
      </c>
      <c r="AA1049" s="31">
        <f t="shared" si="207"/>
        <v>-0.20455455176503839</v>
      </c>
    </row>
    <row r="1050" spans="1:27" x14ac:dyDescent="0.25">
      <c r="A1050" s="6" t="str">
        <f t="shared" si="201"/>
        <v>fragment</v>
      </c>
      <c r="B1050" s="6" t="s">
        <v>901</v>
      </c>
      <c r="C1050" s="6" t="str">
        <f t="shared" si="202"/>
        <v>HC86 572</v>
      </c>
      <c r="D1050" s="22" t="s">
        <v>900</v>
      </c>
      <c r="E1050" s="22">
        <v>572</v>
      </c>
      <c r="F1050" s="22"/>
      <c r="G1050" s="22" t="s">
        <v>1166</v>
      </c>
      <c r="H1050" s="22" t="s">
        <v>977</v>
      </c>
      <c r="I1050" s="6" t="s">
        <v>20</v>
      </c>
      <c r="J1050" s="30"/>
      <c r="K1050" s="8" t="str">
        <f t="shared" si="203"/>
        <v/>
      </c>
      <c r="L1050" s="8" t="str">
        <f t="shared" si="204"/>
        <v/>
      </c>
      <c r="M1050" s="23">
        <v>1.571</v>
      </c>
      <c r="N1050" s="23">
        <f>0.901+1.201+0.906+0.199</f>
        <v>3.2070000000000003</v>
      </c>
      <c r="O1050" s="23">
        <v>4.7</v>
      </c>
      <c r="P1050" s="23">
        <f>2.084+2.789+0.76</f>
        <v>5.633</v>
      </c>
      <c r="Q1050" s="23">
        <v>5.1070000000000002</v>
      </c>
      <c r="R1050" s="23">
        <f>0.686+2.998+1.916</f>
        <v>5.6</v>
      </c>
      <c r="S1050" s="8"/>
      <c r="T1050" s="8"/>
      <c r="U1050" s="8">
        <v>2.0413749204328457</v>
      </c>
      <c r="V1050" s="8">
        <v>1.1985106382978723</v>
      </c>
      <c r="W1050" s="8">
        <v>1.096534168787938</v>
      </c>
      <c r="X1050" s="8"/>
      <c r="Y1050" s="31">
        <f t="shared" si="205"/>
        <v>-0.16001005675420052</v>
      </c>
      <c r="Z1050" s="31">
        <f t="shared" si="206"/>
        <v>-0.16001005675420052</v>
      </c>
      <c r="AA1050" s="31" t="str">
        <f t="shared" si="207"/>
        <v/>
      </c>
    </row>
    <row r="1051" spans="1:27" x14ac:dyDescent="0.25">
      <c r="A1051" s="6" t="str">
        <f t="shared" si="201"/>
        <v>fragment</v>
      </c>
      <c r="B1051" s="6" t="s">
        <v>901</v>
      </c>
      <c r="C1051" s="6" t="str">
        <f t="shared" si="202"/>
        <v>HC86 572</v>
      </c>
      <c r="D1051" s="22" t="s">
        <v>900</v>
      </c>
      <c r="E1051" s="22">
        <v>572</v>
      </c>
      <c r="F1051" s="22"/>
      <c r="G1051" s="22" t="s">
        <v>1167</v>
      </c>
      <c r="H1051" s="22" t="s">
        <v>977</v>
      </c>
      <c r="I1051" s="6" t="s">
        <v>20</v>
      </c>
      <c r="J1051" s="30"/>
      <c r="K1051" s="8" t="str">
        <f t="shared" si="203"/>
        <v/>
      </c>
      <c r="L1051" s="8" t="str">
        <f t="shared" si="204"/>
        <v/>
      </c>
      <c r="M1051" s="23"/>
      <c r="N1051" s="23"/>
      <c r="O1051" s="23"/>
      <c r="P1051" s="23"/>
      <c r="Q1051" s="23">
        <v>2.653</v>
      </c>
      <c r="R1051" s="23">
        <f>0.419+1.724+1.629</f>
        <v>3.7719999999999998</v>
      </c>
      <c r="S1051" s="8"/>
      <c r="T1051" s="8"/>
      <c r="U1051" s="8"/>
      <c r="V1051" s="8"/>
      <c r="W1051" s="8">
        <v>1.4217866566151525</v>
      </c>
      <c r="X1051" s="8"/>
      <c r="Y1051" s="31">
        <f t="shared" si="205"/>
        <v>-0.15283443408296155</v>
      </c>
      <c r="Z1051" s="31">
        <f t="shared" si="206"/>
        <v>-0.15283443408296155</v>
      </c>
      <c r="AA1051" s="31" t="str">
        <f t="shared" si="207"/>
        <v/>
      </c>
    </row>
    <row r="1052" spans="1:27" x14ac:dyDescent="0.25">
      <c r="A1052" s="6" t="str">
        <f t="shared" si="201"/>
        <v>fragment</v>
      </c>
      <c r="B1052" s="6" t="s">
        <v>901</v>
      </c>
      <c r="C1052" s="6" t="str">
        <f t="shared" si="202"/>
        <v>HC86 86108</v>
      </c>
      <c r="D1052" s="22" t="s">
        <v>900</v>
      </c>
      <c r="E1052" s="20">
        <v>86108</v>
      </c>
      <c r="F1052" s="22"/>
      <c r="G1052" s="22" t="s">
        <v>1123</v>
      </c>
      <c r="H1052" s="6" t="s">
        <v>977</v>
      </c>
      <c r="I1052" s="6" t="s">
        <v>20</v>
      </c>
      <c r="J1052" s="30"/>
      <c r="K1052" s="8" t="str">
        <f t="shared" si="203"/>
        <v/>
      </c>
      <c r="L1052" s="8" t="str">
        <f t="shared" si="204"/>
        <v/>
      </c>
      <c r="M1052" s="23"/>
      <c r="N1052" s="23"/>
      <c r="O1052" s="23">
        <v>3.5350000000000001</v>
      </c>
      <c r="P1052" s="23">
        <f>1.208+1.235+1.03</f>
        <v>3.4729999999999999</v>
      </c>
      <c r="Q1052" s="23">
        <v>11.958</v>
      </c>
      <c r="R1052" s="23">
        <f>1.429+4.309+3.288+0.514</f>
        <v>9.5399999999999991</v>
      </c>
      <c r="S1052" s="8"/>
      <c r="T1052" s="8"/>
      <c r="U1052" s="8"/>
      <c r="V1052" s="8">
        <v>0.98246110325318237</v>
      </c>
      <c r="W1052" s="8">
        <v>0.79779227295534361</v>
      </c>
      <c r="X1052" s="8"/>
      <c r="Y1052" s="31">
        <f t="shared" si="205"/>
        <v>5.054817759212523E-2</v>
      </c>
      <c r="Z1052" s="31">
        <f t="shared" si="206"/>
        <v>5.054817759212523E-2</v>
      </c>
      <c r="AA1052" s="31" t="str">
        <f t="shared" si="207"/>
        <v/>
      </c>
    </row>
    <row r="1053" spans="1:27" x14ac:dyDescent="0.25">
      <c r="A1053" s="6" t="str">
        <f t="shared" si="201"/>
        <v>fragment</v>
      </c>
      <c r="B1053" s="6" t="s">
        <v>901</v>
      </c>
      <c r="C1053" s="6" t="str">
        <f t="shared" si="202"/>
        <v>HC86 86145</v>
      </c>
      <c r="D1053" s="22" t="s">
        <v>900</v>
      </c>
      <c r="E1053" s="20">
        <v>86145</v>
      </c>
      <c r="F1053" s="22"/>
      <c r="G1053" s="22" t="s">
        <v>1124</v>
      </c>
      <c r="H1053" s="6" t="s">
        <v>974</v>
      </c>
      <c r="I1053" s="6" t="s">
        <v>20</v>
      </c>
      <c r="J1053" s="30"/>
      <c r="K1053" s="8" t="str">
        <f t="shared" si="203"/>
        <v/>
      </c>
      <c r="L1053" s="8" t="str">
        <f t="shared" si="204"/>
        <v/>
      </c>
      <c r="M1053" s="23"/>
      <c r="N1053" s="23"/>
      <c r="O1053" s="23">
        <v>1.429</v>
      </c>
      <c r="P1053" s="23">
        <f>0.971+1.102</f>
        <v>2.073</v>
      </c>
      <c r="Q1053" s="23">
        <v>2.5590000000000002</v>
      </c>
      <c r="R1053" s="23">
        <f>0.616+1.618+1.757+0.137</f>
        <v>4.1280000000000001</v>
      </c>
      <c r="S1053" s="8"/>
      <c r="T1053" s="8"/>
      <c r="U1053" s="8"/>
      <c r="V1053" s="8">
        <v>1.4506648005598319</v>
      </c>
      <c r="W1053" s="8">
        <v>1.6131301289566236</v>
      </c>
      <c r="X1053" s="8"/>
      <c r="Y1053" s="31">
        <f t="shared" si="205"/>
        <v>-0.18522969742454884</v>
      </c>
      <c r="Z1053" s="31">
        <f t="shared" si="206"/>
        <v>-0.18522969742454884</v>
      </c>
      <c r="AA1053" s="31" t="str">
        <f t="shared" si="207"/>
        <v/>
      </c>
    </row>
    <row r="1054" spans="1:27" x14ac:dyDescent="0.25">
      <c r="A1054" s="6" t="str">
        <f t="shared" si="201"/>
        <v>complete</v>
      </c>
      <c r="B1054" s="6" t="s">
        <v>901</v>
      </c>
      <c r="C1054" s="6" t="str">
        <f t="shared" si="202"/>
        <v>HC86 87101</v>
      </c>
      <c r="D1054" s="22" t="s">
        <v>900</v>
      </c>
      <c r="E1054" s="20">
        <v>87101</v>
      </c>
      <c r="F1054" s="22"/>
      <c r="G1054" s="22" t="s">
        <v>792</v>
      </c>
      <c r="H1054" s="22"/>
      <c r="I1054" s="6" t="s">
        <v>20</v>
      </c>
      <c r="J1054" s="30">
        <f>52.728*2</f>
        <v>105.456</v>
      </c>
      <c r="K1054" s="8">
        <f t="shared" si="203"/>
        <v>2.0230712942960976</v>
      </c>
      <c r="L1054" s="8">
        <f t="shared" si="204"/>
        <v>9.2634639902984564</v>
      </c>
      <c r="M1054" s="23">
        <v>6.5229999999999997</v>
      </c>
      <c r="N1054" s="23">
        <f>1.837+2.879</f>
        <v>4.7160000000000002</v>
      </c>
      <c r="O1054" s="23">
        <v>9.6530000000000005</v>
      </c>
      <c r="P1054" s="23">
        <f>2.007+4.417+1.866</f>
        <v>8.2899999999999991</v>
      </c>
      <c r="Q1054" s="23">
        <v>8.9760000000000009</v>
      </c>
      <c r="R1054" s="23">
        <f>1.884+3.769+1.872</f>
        <v>7.5250000000000004</v>
      </c>
      <c r="S1054" s="8"/>
      <c r="T1054" s="8"/>
      <c r="U1054" s="8">
        <v>0.72298022382339422</v>
      </c>
      <c r="V1054" s="8">
        <v>0.85880037294105449</v>
      </c>
      <c r="W1054" s="8">
        <v>0.83834670231729047</v>
      </c>
      <c r="X1054" s="8"/>
      <c r="Y1054" s="31">
        <f t="shared" si="205"/>
        <v>9.3283044179430452E-2</v>
      </c>
      <c r="Z1054" s="31" t="str">
        <f t="shared" si="206"/>
        <v/>
      </c>
      <c r="AA1054" s="31">
        <f t="shared" si="207"/>
        <v>9.3283044179430452E-2</v>
      </c>
    </row>
    <row r="1055" spans="1:27" x14ac:dyDescent="0.25">
      <c r="A1055" s="6" t="str">
        <f t="shared" si="201"/>
        <v>fragment</v>
      </c>
      <c r="B1055" s="6" t="s">
        <v>901</v>
      </c>
      <c r="C1055" s="6" t="str">
        <f t="shared" si="202"/>
        <v>HC86 87101</v>
      </c>
      <c r="D1055" s="22" t="s">
        <v>900</v>
      </c>
      <c r="E1055" s="20">
        <v>87101</v>
      </c>
      <c r="F1055" s="22"/>
      <c r="G1055" s="22" t="s">
        <v>1125</v>
      </c>
      <c r="H1055" s="22"/>
      <c r="I1055" s="6" t="s">
        <v>20</v>
      </c>
      <c r="J1055" s="30"/>
      <c r="K1055" s="8" t="str">
        <f t="shared" si="203"/>
        <v/>
      </c>
      <c r="L1055" s="8" t="str">
        <f t="shared" si="204"/>
        <v/>
      </c>
      <c r="M1055" s="23">
        <v>6.2220000000000004</v>
      </c>
      <c r="N1055" s="23">
        <f>2.262+2.294</f>
        <v>4.556</v>
      </c>
      <c r="O1055" s="23">
        <v>15.492000000000001</v>
      </c>
      <c r="P1055" s="23">
        <f>0.43+4.718+2.304</f>
        <v>7.452</v>
      </c>
      <c r="Q1055" s="23">
        <v>14.739000000000001</v>
      </c>
      <c r="R1055" s="23">
        <f>1.453+4.172+1.566</f>
        <v>7.1909999999999998</v>
      </c>
      <c r="S1055" s="8"/>
      <c r="T1055" s="8"/>
      <c r="U1055" s="8">
        <v>0.73224043715846987</v>
      </c>
      <c r="V1055" s="8">
        <v>0.48102246320681641</v>
      </c>
      <c r="W1055" s="8">
        <v>0.48788927335640137</v>
      </c>
      <c r="X1055" s="8"/>
      <c r="Y1055" s="31">
        <f t="shared" si="205"/>
        <v>0.24637809028309199</v>
      </c>
      <c r="Z1055" s="31">
        <f t="shared" si="206"/>
        <v>0.24637809028309199</v>
      </c>
      <c r="AA1055" s="31" t="str">
        <f t="shared" si="207"/>
        <v/>
      </c>
    </row>
    <row r="1056" spans="1:27" x14ac:dyDescent="0.25">
      <c r="A1056" s="6" t="str">
        <f t="shared" si="201"/>
        <v>fragment</v>
      </c>
      <c r="B1056" s="6" t="s">
        <v>901</v>
      </c>
      <c r="C1056" s="6" t="str">
        <f t="shared" si="202"/>
        <v>HC86 87101</v>
      </c>
      <c r="D1056" s="22" t="s">
        <v>900</v>
      </c>
      <c r="E1056" s="20">
        <v>87101</v>
      </c>
      <c r="F1056" s="22"/>
      <c r="G1056" s="22" t="s">
        <v>1126</v>
      </c>
      <c r="H1056" s="22"/>
      <c r="I1056" s="6" t="s">
        <v>20</v>
      </c>
      <c r="J1056" s="30"/>
      <c r="K1056" s="8" t="str">
        <f t="shared" si="203"/>
        <v/>
      </c>
      <c r="L1056" s="8" t="str">
        <f t="shared" si="204"/>
        <v/>
      </c>
      <c r="M1056" s="23"/>
      <c r="N1056" s="23"/>
      <c r="O1056" s="23">
        <v>8.5850000000000009</v>
      </c>
      <c r="P1056" s="23">
        <f>1.424+3.635+2.477</f>
        <v>7.5359999999999996</v>
      </c>
      <c r="Q1056" s="23">
        <v>4.3040000000000003</v>
      </c>
      <c r="R1056" s="23">
        <f>0.906+1.823+2.072+0.385</f>
        <v>5.1859999999999999</v>
      </c>
      <c r="S1056" s="8"/>
      <c r="T1056" s="8"/>
      <c r="U1056" s="8"/>
      <c r="V1056" s="8">
        <v>0.87781013395457175</v>
      </c>
      <c r="W1056" s="8">
        <v>1.2049256505576207</v>
      </c>
      <c r="X1056" s="8"/>
      <c r="Y1056" s="31">
        <f t="shared" si="205"/>
        <v>-1.7604183258083831E-2</v>
      </c>
      <c r="Z1056" s="31">
        <f t="shared" si="206"/>
        <v>-1.7604183258083831E-2</v>
      </c>
      <c r="AA1056" s="31" t="str">
        <f t="shared" si="207"/>
        <v/>
      </c>
    </row>
    <row r="1057" spans="1:27" x14ac:dyDescent="0.25">
      <c r="A1057" s="6" t="str">
        <f t="shared" si="201"/>
        <v>fragment</v>
      </c>
      <c r="B1057" s="6" t="s">
        <v>901</v>
      </c>
      <c r="C1057" s="6" t="str">
        <f t="shared" si="202"/>
        <v>HC86 87101</v>
      </c>
      <c r="D1057" s="22" t="s">
        <v>900</v>
      </c>
      <c r="E1057" s="20">
        <v>87101</v>
      </c>
      <c r="F1057" s="22"/>
      <c r="G1057" s="22" t="s">
        <v>1127</v>
      </c>
      <c r="H1057" s="22"/>
      <c r="I1057" s="6" t="s">
        <v>20</v>
      </c>
      <c r="J1057" s="30"/>
      <c r="K1057" s="8" t="str">
        <f t="shared" si="203"/>
        <v/>
      </c>
      <c r="L1057" s="8" t="str">
        <f t="shared" si="204"/>
        <v/>
      </c>
      <c r="M1057" s="23"/>
      <c r="N1057" s="23"/>
      <c r="O1057" s="23"/>
      <c r="P1057" s="23"/>
      <c r="Q1057" s="23">
        <v>18.193000000000001</v>
      </c>
      <c r="R1057" s="23">
        <f>2.219+3.809+3.09</f>
        <v>9.1180000000000003</v>
      </c>
      <c r="S1057" s="8"/>
      <c r="T1057" s="8"/>
      <c r="U1057" s="8"/>
      <c r="V1057" s="8"/>
      <c r="W1057" s="8">
        <v>0.5011817732094761</v>
      </c>
      <c r="X1057" s="8"/>
      <c r="Y1057" s="31">
        <f t="shared" si="205"/>
        <v>0.30000473164932601</v>
      </c>
      <c r="Z1057" s="31">
        <f t="shared" si="206"/>
        <v>0.30000473164932601</v>
      </c>
      <c r="AA1057" s="31" t="str">
        <f t="shared" si="207"/>
        <v/>
      </c>
    </row>
    <row r="1058" spans="1:27" x14ac:dyDescent="0.25">
      <c r="A1058" s="6" t="str">
        <f t="shared" si="201"/>
        <v>fragment</v>
      </c>
      <c r="B1058" s="6" t="s">
        <v>901</v>
      </c>
      <c r="C1058" s="6" t="str">
        <f t="shared" si="202"/>
        <v>HC86 87101</v>
      </c>
      <c r="D1058" s="22" t="s">
        <v>900</v>
      </c>
      <c r="E1058" s="20">
        <v>87101</v>
      </c>
      <c r="F1058" s="22"/>
      <c r="G1058" s="22" t="s">
        <v>1128</v>
      </c>
      <c r="H1058" s="22"/>
      <c r="I1058" s="6" t="s">
        <v>20</v>
      </c>
      <c r="J1058" s="30"/>
      <c r="K1058" s="8" t="str">
        <f t="shared" si="203"/>
        <v/>
      </c>
      <c r="L1058" s="8" t="str">
        <f t="shared" si="204"/>
        <v/>
      </c>
      <c r="M1058" s="23">
        <v>3.6739999999999999</v>
      </c>
      <c r="N1058" s="23">
        <f>2.485+1.513+0.231</f>
        <v>4.2290000000000001</v>
      </c>
      <c r="O1058" s="23">
        <v>3.1030000000000002</v>
      </c>
      <c r="P1058" s="23">
        <f>0.495+1.9+1.277+0.532</f>
        <v>4.2039999999999997</v>
      </c>
      <c r="Q1058" s="23">
        <v>5.2190000000000003</v>
      </c>
      <c r="R1058" s="23">
        <f>1.357+1.527+2.545+0.425</f>
        <v>5.8540000000000001</v>
      </c>
      <c r="S1058" s="8"/>
      <c r="T1058" s="8"/>
      <c r="U1058" s="8">
        <v>1.1510615133369624</v>
      </c>
      <c r="V1058" s="8">
        <v>1.3548179181437316</v>
      </c>
      <c r="W1058" s="8">
        <v>1.1216708181643993</v>
      </c>
      <c r="X1058" s="8"/>
      <c r="Y1058" s="31">
        <f t="shared" si="205"/>
        <v>-8.2492182376997694E-2</v>
      </c>
      <c r="Z1058" s="31">
        <f t="shared" si="206"/>
        <v>-8.2492182376997694E-2</v>
      </c>
      <c r="AA1058" s="31" t="str">
        <f t="shared" si="207"/>
        <v/>
      </c>
    </row>
    <row r="1059" spans="1:27" x14ac:dyDescent="0.25">
      <c r="A1059" s="6" t="str">
        <f t="shared" si="201"/>
        <v>fragment</v>
      </c>
      <c r="B1059" s="6" t="s">
        <v>901</v>
      </c>
      <c r="C1059" s="6" t="str">
        <f t="shared" si="202"/>
        <v>HC86 87101</v>
      </c>
      <c r="D1059" s="22" t="s">
        <v>900</v>
      </c>
      <c r="E1059" s="20">
        <v>87101</v>
      </c>
      <c r="F1059" s="22"/>
      <c r="G1059" s="22" t="s">
        <v>1129</v>
      </c>
      <c r="H1059" s="22"/>
      <c r="I1059" s="6" t="s">
        <v>20</v>
      </c>
      <c r="J1059" s="30"/>
      <c r="K1059" s="8" t="str">
        <f t="shared" si="203"/>
        <v/>
      </c>
      <c r="L1059" s="8" t="str">
        <f t="shared" si="204"/>
        <v/>
      </c>
      <c r="M1059" s="23"/>
      <c r="N1059" s="23"/>
      <c r="O1059" s="23">
        <v>3.0350000000000001</v>
      </c>
      <c r="P1059" s="23">
        <f>0.939+2.686+0.716</f>
        <v>4.3410000000000002</v>
      </c>
      <c r="Q1059" s="23">
        <v>4.3600000000000003</v>
      </c>
      <c r="R1059" s="23">
        <f>1.748+3.072+1.238</f>
        <v>6.0579999999999998</v>
      </c>
      <c r="S1059" s="8"/>
      <c r="T1059" s="8"/>
      <c r="U1059" s="8"/>
      <c r="V1059" s="8">
        <v>1.4303130148270182</v>
      </c>
      <c r="W1059" s="8">
        <v>1.3894495412844035</v>
      </c>
      <c r="X1059" s="8"/>
      <c r="Y1059" s="31">
        <f t="shared" si="205"/>
        <v>-0.14918254353758242</v>
      </c>
      <c r="Z1059" s="31">
        <f t="shared" si="206"/>
        <v>-0.14918254353758242</v>
      </c>
      <c r="AA1059" s="31" t="str">
        <f t="shared" si="207"/>
        <v/>
      </c>
    </row>
    <row r="1060" spans="1:27" x14ac:dyDescent="0.25">
      <c r="A1060" s="6" t="str">
        <f t="shared" si="201"/>
        <v>fragment</v>
      </c>
      <c r="B1060" s="6" t="s">
        <v>901</v>
      </c>
      <c r="C1060" s="6" t="str">
        <f t="shared" si="202"/>
        <v>HC86 87101</v>
      </c>
      <c r="D1060" s="22" t="s">
        <v>900</v>
      </c>
      <c r="E1060" s="20">
        <v>87101</v>
      </c>
      <c r="F1060" s="22"/>
      <c r="G1060" s="22" t="s">
        <v>1130</v>
      </c>
      <c r="H1060" s="22"/>
      <c r="I1060" s="6" t="s">
        <v>20</v>
      </c>
      <c r="J1060" s="30"/>
      <c r="K1060" s="8" t="str">
        <f t="shared" si="203"/>
        <v/>
      </c>
      <c r="L1060" s="8" t="str">
        <f t="shared" si="204"/>
        <v/>
      </c>
      <c r="M1060" s="23"/>
      <c r="N1060" s="23"/>
      <c r="O1060" s="23">
        <v>4.984</v>
      </c>
      <c r="P1060" s="23">
        <f>0.837+2.67+0.46+2.352</f>
        <v>6.3189999999999991</v>
      </c>
      <c r="Q1060" s="23">
        <v>6.2910000000000004</v>
      </c>
      <c r="R1060" s="23">
        <f>0.878+3.45+1.421</f>
        <v>5.7490000000000006</v>
      </c>
      <c r="S1060" s="8"/>
      <c r="T1060" s="8"/>
      <c r="U1060" s="8"/>
      <c r="V1060" s="8">
        <v>1.2678571428571426</v>
      </c>
      <c r="W1060" s="8">
        <v>0.91384517564775081</v>
      </c>
      <c r="X1060" s="8"/>
      <c r="Y1060" s="31">
        <f t="shared" si="205"/>
        <v>-3.7765497494774092E-2</v>
      </c>
      <c r="Z1060" s="31">
        <f t="shared" si="206"/>
        <v>-3.7765497494774092E-2</v>
      </c>
      <c r="AA1060" s="31" t="str">
        <f t="shared" si="207"/>
        <v/>
      </c>
    </row>
    <row r="1061" spans="1:27" x14ac:dyDescent="0.25">
      <c r="A1061" s="6" t="str">
        <f t="shared" si="201"/>
        <v>fragment</v>
      </c>
      <c r="B1061" s="6" t="s">
        <v>901</v>
      </c>
      <c r="C1061" s="6" t="str">
        <f t="shared" si="202"/>
        <v>HC86 87101</v>
      </c>
      <c r="D1061" s="22" t="s">
        <v>900</v>
      </c>
      <c r="E1061" s="20">
        <v>87101</v>
      </c>
      <c r="F1061" s="22"/>
      <c r="G1061" s="22" t="s">
        <v>1131</v>
      </c>
      <c r="H1061" s="22"/>
      <c r="I1061" s="6" t="s">
        <v>20</v>
      </c>
      <c r="J1061" s="30"/>
      <c r="K1061" s="8" t="str">
        <f t="shared" si="203"/>
        <v/>
      </c>
      <c r="L1061" s="8" t="str">
        <f t="shared" si="204"/>
        <v/>
      </c>
      <c r="M1061" s="23"/>
      <c r="N1061" s="23"/>
      <c r="O1061" s="23"/>
      <c r="P1061" s="23"/>
      <c r="Q1061" s="23">
        <v>12.391999999999999</v>
      </c>
      <c r="R1061" s="23">
        <f>1.064+3.035+3.137+2.868</f>
        <v>10.104000000000001</v>
      </c>
      <c r="S1061" s="8"/>
      <c r="T1061" s="8"/>
      <c r="U1061" s="8"/>
      <c r="V1061" s="8"/>
      <c r="W1061" s="8">
        <v>0.81536475145255016</v>
      </c>
      <c r="X1061" s="8"/>
      <c r="Y1061" s="31">
        <f t="shared" si="205"/>
        <v>8.8648067203875178E-2</v>
      </c>
      <c r="Z1061" s="31">
        <f t="shared" si="206"/>
        <v>8.8648067203875178E-2</v>
      </c>
      <c r="AA1061" s="31" t="str">
        <f t="shared" si="207"/>
        <v/>
      </c>
    </row>
    <row r="1062" spans="1:27" x14ac:dyDescent="0.25">
      <c r="A1062" s="6" t="str">
        <f t="shared" si="201"/>
        <v>fragment</v>
      </c>
      <c r="B1062" s="6" t="s">
        <v>901</v>
      </c>
      <c r="C1062" s="6" t="str">
        <f t="shared" si="202"/>
        <v>HC86 87101</v>
      </c>
      <c r="D1062" s="22" t="s">
        <v>900</v>
      </c>
      <c r="E1062" s="20">
        <v>87101</v>
      </c>
      <c r="F1062" s="22"/>
      <c r="G1062" s="22" t="s">
        <v>1132</v>
      </c>
      <c r="H1062" s="22"/>
      <c r="I1062" s="6" t="s">
        <v>20</v>
      </c>
      <c r="J1062" s="30"/>
      <c r="K1062" s="8" t="str">
        <f t="shared" si="203"/>
        <v/>
      </c>
      <c r="L1062" s="8" t="str">
        <f t="shared" si="204"/>
        <v/>
      </c>
      <c r="M1062" s="23"/>
      <c r="N1062" s="23"/>
      <c r="O1062" s="23">
        <v>4.444</v>
      </c>
      <c r="P1062" s="23">
        <f>0.562+2.16+3.137+0.553</f>
        <v>6.4119999999999999</v>
      </c>
      <c r="Q1062" s="23">
        <v>5.9210000000000003</v>
      </c>
      <c r="R1062" s="23">
        <f>0.551+3.605+2.641+0.165</f>
        <v>6.9619999999999997</v>
      </c>
      <c r="S1062" s="8"/>
      <c r="T1062" s="8"/>
      <c r="U1062" s="8"/>
      <c r="V1062" s="8">
        <v>1.4428442844284428</v>
      </c>
      <c r="W1062" s="8">
        <v>1.17581489613241</v>
      </c>
      <c r="X1062" s="8"/>
      <c r="Y1062" s="31">
        <f t="shared" si="205"/>
        <v>-0.11704898285537191</v>
      </c>
      <c r="Z1062" s="31">
        <f t="shared" si="206"/>
        <v>-0.11704898285537191</v>
      </c>
      <c r="AA1062" s="31" t="str">
        <f t="shared" si="207"/>
        <v/>
      </c>
    </row>
    <row r="1063" spans="1:27" x14ac:dyDescent="0.25">
      <c r="A1063" s="6" t="str">
        <f t="shared" si="201"/>
        <v>fragment</v>
      </c>
      <c r="B1063" s="6" t="s">
        <v>901</v>
      </c>
      <c r="C1063" s="6" t="str">
        <f t="shared" si="202"/>
        <v>HC86 87101</v>
      </c>
      <c r="D1063" s="22" t="s">
        <v>900</v>
      </c>
      <c r="E1063" s="20">
        <v>87101</v>
      </c>
      <c r="F1063" s="22"/>
      <c r="G1063" s="22" t="s">
        <v>1133</v>
      </c>
      <c r="H1063" s="22"/>
      <c r="I1063" s="6" t="s">
        <v>20</v>
      </c>
      <c r="J1063" s="30"/>
      <c r="K1063" s="8" t="str">
        <f t="shared" si="203"/>
        <v/>
      </c>
      <c r="L1063" s="8" t="str">
        <f t="shared" si="204"/>
        <v/>
      </c>
      <c r="M1063" s="23">
        <v>2.1349999999999998</v>
      </c>
      <c r="N1063" s="23">
        <f>1.956+0.343+0.287+0.883</f>
        <v>3.4689999999999999</v>
      </c>
      <c r="O1063" s="23">
        <v>3.3370000000000002</v>
      </c>
      <c r="P1063" s="23">
        <f>0.273+2.051+1.764+0.252+0.052</f>
        <v>4.3919999999999995</v>
      </c>
      <c r="Q1063" s="23">
        <v>6.4989999999999997</v>
      </c>
      <c r="R1063" s="23">
        <f>0.828+3.3+1.294+0.15+0.302+0.293</f>
        <v>6.1670000000000007</v>
      </c>
      <c r="S1063" s="8"/>
      <c r="T1063" s="8"/>
      <c r="U1063" s="8">
        <v>1.6248243559718971</v>
      </c>
      <c r="V1063" s="8">
        <v>1.3161522325442012</v>
      </c>
      <c r="W1063" s="8">
        <v>0.94891521772580412</v>
      </c>
      <c r="X1063" s="8"/>
      <c r="Y1063" s="31">
        <f t="shared" si="205"/>
        <v>-0.11281626727299245</v>
      </c>
      <c r="Z1063" s="31">
        <f t="shared" si="206"/>
        <v>-0.11281626727299245</v>
      </c>
      <c r="AA1063" s="31" t="str">
        <f t="shared" si="207"/>
        <v/>
      </c>
    </row>
    <row r="1064" spans="1:27" x14ac:dyDescent="0.25">
      <c r="A1064" s="6" t="str">
        <f t="shared" si="201"/>
        <v>fragment</v>
      </c>
      <c r="B1064" s="6" t="s">
        <v>901</v>
      </c>
      <c r="C1064" s="6" t="str">
        <f t="shared" si="202"/>
        <v>HC86 87101</v>
      </c>
      <c r="D1064" s="22" t="s">
        <v>900</v>
      </c>
      <c r="E1064" s="20">
        <v>87101</v>
      </c>
      <c r="F1064" s="22"/>
      <c r="G1064" s="22" t="s">
        <v>1134</v>
      </c>
      <c r="H1064" s="22"/>
      <c r="I1064" s="6" t="s">
        <v>20</v>
      </c>
      <c r="J1064" s="30"/>
      <c r="K1064" s="8" t="str">
        <f t="shared" si="203"/>
        <v/>
      </c>
      <c r="L1064" s="8" t="str">
        <f t="shared" si="204"/>
        <v/>
      </c>
      <c r="M1064" s="23"/>
      <c r="N1064" s="23"/>
      <c r="O1064" s="23">
        <v>4.383</v>
      </c>
      <c r="P1064" s="23">
        <f>0.628+2.633+1.428</f>
        <v>4.6890000000000001</v>
      </c>
      <c r="Q1064" s="23">
        <v>2.6219999999999999</v>
      </c>
      <c r="R1064" s="23">
        <f>1.665+1.675+0.696</f>
        <v>4.0359999999999996</v>
      </c>
      <c r="S1064" s="8"/>
      <c r="T1064" s="8"/>
      <c r="U1064" s="8"/>
      <c r="V1064" s="8">
        <v>1.0698151950718686</v>
      </c>
      <c r="W1064" s="8">
        <v>1.5392829900839053</v>
      </c>
      <c r="X1064" s="8"/>
      <c r="Y1064" s="31">
        <f t="shared" si="205"/>
        <v>-0.11546042704260702</v>
      </c>
      <c r="Z1064" s="31">
        <f t="shared" si="206"/>
        <v>-0.11546042704260702</v>
      </c>
      <c r="AA1064" s="31" t="str">
        <f t="shared" si="207"/>
        <v/>
      </c>
    </row>
    <row r="1065" spans="1:27" x14ac:dyDescent="0.25">
      <c r="A1065" s="6" t="str">
        <f t="shared" si="201"/>
        <v>fragment</v>
      </c>
      <c r="B1065" s="6" t="s">
        <v>901</v>
      </c>
      <c r="C1065" s="6" t="str">
        <f t="shared" si="202"/>
        <v>HC86 87101</v>
      </c>
      <c r="D1065" s="22" t="s">
        <v>900</v>
      </c>
      <c r="E1065" s="20">
        <v>87101</v>
      </c>
      <c r="F1065" s="22"/>
      <c r="G1065" s="22" t="s">
        <v>1135</v>
      </c>
      <c r="H1065" s="22"/>
      <c r="I1065" s="6" t="s">
        <v>20</v>
      </c>
      <c r="J1065" s="30"/>
      <c r="K1065" s="8" t="str">
        <f t="shared" si="203"/>
        <v/>
      </c>
      <c r="L1065" s="8" t="str">
        <f t="shared" si="204"/>
        <v/>
      </c>
      <c r="M1065" s="23">
        <v>1.466</v>
      </c>
      <c r="N1065" s="23">
        <f>0.13+1.314+1.201</f>
        <v>2.645</v>
      </c>
      <c r="O1065" s="23">
        <v>1.946</v>
      </c>
      <c r="P1065" s="23">
        <f>0.804+1.939+0.882</f>
        <v>3.6250000000000004</v>
      </c>
      <c r="Q1065" s="23">
        <v>1.9670000000000001</v>
      </c>
      <c r="R1065" s="23">
        <f>0.56+1.726+0.32</f>
        <v>2.6059999999999999</v>
      </c>
      <c r="S1065" s="8"/>
      <c r="T1065" s="8"/>
      <c r="U1065" s="8">
        <v>1.8042291950886766</v>
      </c>
      <c r="V1065" s="8">
        <v>1.8627954779033919</v>
      </c>
      <c r="W1065" s="8">
        <v>1.3248601931875952</v>
      </c>
      <c r="X1065" s="8"/>
      <c r="Y1065" s="31">
        <f t="shared" si="205"/>
        <v>-0.22114330541634861</v>
      </c>
      <c r="Z1065" s="31">
        <f t="shared" si="206"/>
        <v>-0.22114330541634861</v>
      </c>
      <c r="AA1065" s="31" t="str">
        <f t="shared" si="207"/>
        <v/>
      </c>
    </row>
    <row r="1066" spans="1:27" x14ac:dyDescent="0.25">
      <c r="A1066" s="6" t="str">
        <f t="shared" si="201"/>
        <v>fragment</v>
      </c>
      <c r="B1066" s="6" t="s">
        <v>901</v>
      </c>
      <c r="C1066" s="6" t="str">
        <f t="shared" si="202"/>
        <v>HC86 87101</v>
      </c>
      <c r="D1066" s="22" t="s">
        <v>900</v>
      </c>
      <c r="E1066" s="20">
        <v>87101</v>
      </c>
      <c r="F1066" s="22"/>
      <c r="G1066" s="22" t="s">
        <v>1136</v>
      </c>
      <c r="H1066" s="22"/>
      <c r="I1066" s="6" t="s">
        <v>20</v>
      </c>
      <c r="J1066" s="30"/>
      <c r="K1066" s="8" t="str">
        <f t="shared" si="203"/>
        <v/>
      </c>
      <c r="L1066" s="8" t="str">
        <f t="shared" si="204"/>
        <v/>
      </c>
      <c r="M1066" s="23"/>
      <c r="N1066" s="23"/>
      <c r="O1066" s="23">
        <v>9.2129999999999992</v>
      </c>
      <c r="P1066" s="23">
        <f>2.494+1.732</f>
        <v>4.226</v>
      </c>
      <c r="Q1066" s="23">
        <v>4.4550000000000001</v>
      </c>
      <c r="R1066" s="23">
        <f>1.277+1.524</f>
        <v>2.8010000000000002</v>
      </c>
      <c r="S1066" s="8"/>
      <c r="T1066" s="8"/>
      <c r="U1066" s="8"/>
      <c r="V1066" s="8">
        <v>0.45869966351894065</v>
      </c>
      <c r="W1066" s="8">
        <v>0.6287317620650954</v>
      </c>
      <c r="X1066" s="8"/>
      <c r="Y1066" s="31">
        <f t="shared" si="205"/>
        <v>0.26462811617933579</v>
      </c>
      <c r="Z1066" s="31">
        <f t="shared" si="206"/>
        <v>0.26462811617933579</v>
      </c>
      <c r="AA1066" s="31" t="str">
        <f t="shared" si="207"/>
        <v/>
      </c>
    </row>
    <row r="1067" spans="1:27" x14ac:dyDescent="0.25">
      <c r="A1067" s="6" t="str">
        <f t="shared" si="201"/>
        <v>complete</v>
      </c>
      <c r="B1067" s="6" t="s">
        <v>901</v>
      </c>
      <c r="C1067" s="6" t="str">
        <f t="shared" si="202"/>
        <v>HC86 87101</v>
      </c>
      <c r="D1067" s="22" t="s">
        <v>900</v>
      </c>
      <c r="E1067" s="20">
        <v>87101</v>
      </c>
      <c r="F1067" s="22"/>
      <c r="G1067" s="22" t="s">
        <v>1137</v>
      </c>
      <c r="H1067" s="22"/>
      <c r="I1067" s="6" t="s">
        <v>20</v>
      </c>
      <c r="J1067" s="30">
        <f>22.17*2</f>
        <v>44.34</v>
      </c>
      <c r="K1067" s="8">
        <f t="shared" si="203"/>
        <v>1.6467956887784694</v>
      </c>
      <c r="L1067" s="8">
        <f t="shared" si="204"/>
        <v>8.397057390176256</v>
      </c>
      <c r="M1067" s="23">
        <v>2.4860000000000002</v>
      </c>
      <c r="N1067" s="23">
        <f>1.54+1.985+0.731</f>
        <v>4.2560000000000002</v>
      </c>
      <c r="O1067" s="23">
        <v>3.161</v>
      </c>
      <c r="P1067" s="23">
        <f>0.502+1.631+2.432+1.777+0.692</f>
        <v>7.0339999999999998</v>
      </c>
      <c r="Q1067" s="23">
        <v>3.0219999999999998</v>
      </c>
      <c r="R1067" s="23">
        <f>1.357+1.867+1.563+0.461</f>
        <v>5.2480000000000002</v>
      </c>
      <c r="S1067" s="8"/>
      <c r="T1067" s="8"/>
      <c r="U1067" s="8">
        <v>1.7119871279163315</v>
      </c>
      <c r="V1067" s="8">
        <v>2.2252451755773488</v>
      </c>
      <c r="W1067" s="8">
        <v>1.7365982792852417</v>
      </c>
      <c r="X1067" s="8"/>
      <c r="Y1067" s="31">
        <f t="shared" si="205"/>
        <v>-0.27675510915773799</v>
      </c>
      <c r="Z1067" s="31" t="str">
        <f t="shared" si="206"/>
        <v/>
      </c>
      <c r="AA1067" s="31">
        <f t="shared" si="207"/>
        <v>-0.27675510915773799</v>
      </c>
    </row>
    <row r="1068" spans="1:27" x14ac:dyDescent="0.25">
      <c r="A1068" s="6" t="str">
        <f t="shared" si="201"/>
        <v>fragment</v>
      </c>
      <c r="B1068" s="6" t="s">
        <v>901</v>
      </c>
      <c r="C1068" s="6" t="str">
        <f t="shared" si="202"/>
        <v>HC86 87101</v>
      </c>
      <c r="D1068" s="22" t="s">
        <v>900</v>
      </c>
      <c r="E1068" s="20">
        <v>87101</v>
      </c>
      <c r="F1068" s="22"/>
      <c r="G1068" s="22" t="s">
        <v>1138</v>
      </c>
      <c r="H1068" s="22"/>
      <c r="I1068" s="6" t="s">
        <v>20</v>
      </c>
      <c r="J1068" s="30"/>
      <c r="K1068" s="8" t="str">
        <f t="shared" si="203"/>
        <v/>
      </c>
      <c r="L1068" s="8" t="str">
        <f t="shared" si="204"/>
        <v/>
      </c>
      <c r="M1068" s="23"/>
      <c r="N1068" s="23"/>
      <c r="O1068" s="23">
        <v>4.8109999999999999</v>
      </c>
      <c r="P1068" s="23">
        <f>1.038+1.6+1.341</f>
        <v>3.9790000000000001</v>
      </c>
      <c r="Q1068" s="23">
        <v>3.4569999999999999</v>
      </c>
      <c r="R1068" s="23">
        <f>1.185+0.996</f>
        <v>2.181</v>
      </c>
      <c r="S1068" s="8"/>
      <c r="T1068" s="8"/>
      <c r="U1068" s="8"/>
      <c r="V1068" s="8">
        <v>0.82706298066929951</v>
      </c>
      <c r="W1068" s="8">
        <v>0.63089383858837145</v>
      </c>
      <c r="X1068" s="8"/>
      <c r="Y1068" s="31">
        <f t="shared" si="205"/>
        <v>0.13728533412086227</v>
      </c>
      <c r="Z1068" s="31">
        <f t="shared" si="206"/>
        <v>0.13728533412086227</v>
      </c>
      <c r="AA1068" s="31" t="str">
        <f t="shared" si="207"/>
        <v/>
      </c>
    </row>
    <row r="1069" spans="1:27" x14ac:dyDescent="0.25">
      <c r="A1069" s="6" t="str">
        <f t="shared" si="201"/>
        <v>fragment</v>
      </c>
      <c r="B1069" s="6" t="s">
        <v>901</v>
      </c>
      <c r="C1069" s="6" t="str">
        <f t="shared" si="202"/>
        <v>HC86 88114</v>
      </c>
      <c r="D1069" s="22" t="s">
        <v>900</v>
      </c>
      <c r="E1069" s="20">
        <v>88114</v>
      </c>
      <c r="F1069" s="22"/>
      <c r="G1069" s="22" t="s">
        <v>1169</v>
      </c>
      <c r="H1069" s="22" t="s">
        <v>977</v>
      </c>
      <c r="I1069" s="6" t="s">
        <v>20</v>
      </c>
      <c r="J1069" s="30"/>
      <c r="K1069" s="8" t="str">
        <f t="shared" si="203"/>
        <v/>
      </c>
      <c r="L1069" s="8" t="str">
        <f t="shared" si="204"/>
        <v/>
      </c>
      <c r="M1069" s="23"/>
      <c r="N1069" s="23"/>
      <c r="O1069" s="23">
        <v>0.89200000000000002</v>
      </c>
      <c r="P1069" s="23">
        <f>0.74+0.965+0.179</f>
        <v>1.8840000000000001</v>
      </c>
      <c r="Q1069" s="23">
        <v>2.0779999999999998</v>
      </c>
      <c r="R1069" s="23">
        <f>1.083+1.636+0.179</f>
        <v>2.8979999999999997</v>
      </c>
      <c r="S1069" s="8"/>
      <c r="T1069" s="8"/>
      <c r="U1069" s="8"/>
      <c r="V1069" s="8">
        <v>2.1121076233183858</v>
      </c>
      <c r="W1069" s="8">
        <v>1.3946102021174205</v>
      </c>
      <c r="X1069" s="8"/>
      <c r="Y1069" s="31">
        <f t="shared" si="205"/>
        <v>-0.24387082531118806</v>
      </c>
      <c r="Z1069" s="31">
        <f t="shared" si="206"/>
        <v>-0.24387082531118806</v>
      </c>
      <c r="AA1069" s="31" t="str">
        <f t="shared" si="207"/>
        <v/>
      </c>
    </row>
    <row r="1070" spans="1:27" x14ac:dyDescent="0.25">
      <c r="A1070" s="6" t="str">
        <f t="shared" si="201"/>
        <v>fragment</v>
      </c>
      <c r="B1070" s="6" t="s">
        <v>901</v>
      </c>
      <c r="C1070" s="6" t="str">
        <f t="shared" si="202"/>
        <v>HC86 88114</v>
      </c>
      <c r="D1070" s="22" t="s">
        <v>900</v>
      </c>
      <c r="E1070" s="20">
        <v>88114</v>
      </c>
      <c r="F1070" s="22"/>
      <c r="G1070" s="22" t="s">
        <v>1170</v>
      </c>
      <c r="H1070" s="22" t="s">
        <v>977</v>
      </c>
      <c r="I1070" s="6" t="s">
        <v>20</v>
      </c>
      <c r="J1070" s="30"/>
      <c r="K1070" s="8" t="str">
        <f t="shared" si="203"/>
        <v/>
      </c>
      <c r="L1070" s="8" t="str">
        <f t="shared" si="204"/>
        <v/>
      </c>
      <c r="M1070" s="23"/>
      <c r="N1070" s="23"/>
      <c r="O1070" s="23">
        <v>7.9539999999999997</v>
      </c>
      <c r="P1070" s="23">
        <f>0.391+2.58+3.882+2.362+0.881</f>
        <v>10.096</v>
      </c>
      <c r="Q1070" s="23">
        <v>2.706</v>
      </c>
      <c r="R1070" s="23">
        <f>1.304+0.643</f>
        <v>1.9470000000000001</v>
      </c>
      <c r="S1070" s="8"/>
      <c r="T1070" s="8"/>
      <c r="U1070" s="8"/>
      <c r="V1070" s="8">
        <v>1.2692984661805382</v>
      </c>
      <c r="W1070" s="8">
        <v>0.7195121951219513</v>
      </c>
      <c r="X1070" s="8"/>
      <c r="Y1070" s="31">
        <f t="shared" si="205"/>
        <v>2.4365562628160687E-3</v>
      </c>
      <c r="Z1070" s="31">
        <f t="shared" si="206"/>
        <v>2.4365562628160687E-3</v>
      </c>
      <c r="AA1070" s="31" t="str">
        <f t="shared" si="207"/>
        <v/>
      </c>
    </row>
    <row r="1071" spans="1:27" x14ac:dyDescent="0.25">
      <c r="A1071" s="6" t="str">
        <f t="shared" si="201"/>
        <v>complete</v>
      </c>
      <c r="B1071" s="6" t="s">
        <v>1195</v>
      </c>
      <c r="C1071" s="6" t="str">
        <f t="shared" si="202"/>
        <v>HC94 1491</v>
      </c>
      <c r="D1071" s="6" t="s">
        <v>917</v>
      </c>
      <c r="E1071" s="20">
        <v>1491</v>
      </c>
      <c r="F1071" s="6" t="s">
        <v>312</v>
      </c>
      <c r="G1071" s="6" t="s">
        <v>931</v>
      </c>
      <c r="H1071" s="6" t="s">
        <v>977</v>
      </c>
      <c r="I1071" s="8" t="s">
        <v>20</v>
      </c>
      <c r="J1071" s="29">
        <v>27.071999999999999</v>
      </c>
      <c r="K1071" s="8">
        <f t="shared" si="203"/>
        <v>1.4325203413589296</v>
      </c>
      <c r="L1071" s="8">
        <f t="shared" si="204"/>
        <v>7.903670169411904</v>
      </c>
      <c r="M1071" s="8"/>
      <c r="N1071" s="8"/>
      <c r="O1071" s="8">
        <v>3.7429999999999999</v>
      </c>
      <c r="P1071" s="8">
        <f>0.818+1.76+1.985+0.902</f>
        <v>5.4649999999999999</v>
      </c>
      <c r="Q1071" s="8"/>
      <c r="R1071" s="8"/>
      <c r="S1071" s="8">
        <v>2.5409999999999999</v>
      </c>
      <c r="T1071" s="8">
        <f>1.145+1.466+0.351</f>
        <v>2.9619999999999997</v>
      </c>
      <c r="U1071" s="8"/>
      <c r="V1071" s="8">
        <f>P1071/O1071</f>
        <v>1.4600587763825807</v>
      </c>
      <c r="W1071" s="8"/>
      <c r="X1071" s="8">
        <f>T1071/S1071</f>
        <v>1.1656828020464383</v>
      </c>
      <c r="Y1071" s="31">
        <f t="shared" si="205"/>
        <v>-0.11822198557732874</v>
      </c>
      <c r="Z1071" s="31" t="str">
        <f t="shared" si="206"/>
        <v/>
      </c>
      <c r="AA1071" s="31">
        <f t="shared" si="207"/>
        <v>-0.11822198557732874</v>
      </c>
    </row>
    <row r="1072" spans="1:27" x14ac:dyDescent="0.25">
      <c r="A1072" s="6" t="str">
        <f t="shared" si="201"/>
        <v>complete</v>
      </c>
      <c r="B1072" s="6" t="s">
        <v>1195</v>
      </c>
      <c r="C1072" s="6" t="str">
        <f t="shared" si="202"/>
        <v>HC94 1851</v>
      </c>
      <c r="D1072" s="6" t="s">
        <v>917</v>
      </c>
      <c r="E1072" s="20">
        <v>1851</v>
      </c>
      <c r="F1072" s="6" t="s">
        <v>563</v>
      </c>
      <c r="G1072" s="6" t="s">
        <v>918</v>
      </c>
      <c r="H1072" s="6" t="s">
        <v>977</v>
      </c>
      <c r="I1072" s="6" t="s">
        <v>20</v>
      </c>
      <c r="J1072" s="29">
        <v>38.942</v>
      </c>
      <c r="K1072" s="8">
        <f t="shared" si="203"/>
        <v>1.5904182524397588</v>
      </c>
      <c r="L1072" s="8">
        <f t="shared" si="204"/>
        <v>8.2672435456815201</v>
      </c>
      <c r="M1072" s="8"/>
      <c r="N1072" s="8"/>
      <c r="O1072" s="8">
        <v>4.7910000000000004</v>
      </c>
      <c r="P1072" s="8">
        <f>1.054+3.106+2.333+0.534</f>
        <v>7.0270000000000001</v>
      </c>
      <c r="Q1072" s="8">
        <v>0.28799999999999998</v>
      </c>
      <c r="R1072" s="8">
        <f>0.338+0.374</f>
        <v>0.71199999999999997</v>
      </c>
      <c r="S1072" s="8">
        <v>2.3519999999999999</v>
      </c>
      <c r="T1072" s="8">
        <f>1.733+1.452</f>
        <v>3.1850000000000001</v>
      </c>
      <c r="U1072" s="8"/>
      <c r="V1072" s="8">
        <f>P1072/O1072</f>
        <v>1.4667084116050928</v>
      </c>
      <c r="W1072" s="8">
        <f>R1072/Q1072</f>
        <v>2.4722222222222223</v>
      </c>
      <c r="X1072" s="8">
        <f>T1072/S1072</f>
        <v>1.3541666666666667</v>
      </c>
      <c r="Y1072" s="31">
        <f t="shared" si="205"/>
        <v>-0.24658862277419843</v>
      </c>
      <c r="Z1072" s="31" t="str">
        <f t="shared" si="206"/>
        <v/>
      </c>
      <c r="AA1072" s="31">
        <f t="shared" si="207"/>
        <v>-0.24658862277419843</v>
      </c>
    </row>
    <row r="1073" spans="1:27" x14ac:dyDescent="0.25">
      <c r="A1073" s="6" t="str">
        <f t="shared" si="201"/>
        <v>complete</v>
      </c>
      <c r="B1073" s="6" t="s">
        <v>1195</v>
      </c>
      <c r="C1073" s="6" t="str">
        <f t="shared" si="202"/>
        <v>HC94 1851</v>
      </c>
      <c r="D1073" s="6" t="s">
        <v>917</v>
      </c>
      <c r="E1073" s="20">
        <v>1851</v>
      </c>
      <c r="F1073" s="6" t="s">
        <v>563</v>
      </c>
      <c r="G1073" s="6" t="s">
        <v>919</v>
      </c>
      <c r="H1073" s="6" t="s">
        <v>977</v>
      </c>
      <c r="I1073" s="6" t="s">
        <v>20</v>
      </c>
      <c r="J1073" s="29">
        <v>22.039000000000001</v>
      </c>
      <c r="K1073" s="8">
        <f t="shared" si="203"/>
        <v>1.3431918849014073</v>
      </c>
      <c r="L1073" s="8">
        <f t="shared" si="204"/>
        <v>7.6979837971926459</v>
      </c>
      <c r="M1073" s="8"/>
      <c r="N1073" s="8"/>
      <c r="O1073" s="8"/>
      <c r="P1073" s="8"/>
      <c r="Q1073" s="8"/>
      <c r="R1073" s="8"/>
      <c r="S1073" s="8">
        <v>5.048</v>
      </c>
      <c r="T1073" s="8">
        <f>1.239+2.614+0.344+1.489</f>
        <v>5.6859999999999999</v>
      </c>
      <c r="U1073" s="8"/>
      <c r="V1073" s="8"/>
      <c r="W1073" s="8"/>
      <c r="X1073" s="8">
        <f>T1073/S1073</f>
        <v>1.1263866877971473</v>
      </c>
      <c r="Y1073" s="31">
        <f t="shared" si="205"/>
        <v>-5.1687509118345444E-2</v>
      </c>
      <c r="Z1073" s="31" t="str">
        <f t="shared" si="206"/>
        <v/>
      </c>
      <c r="AA1073" s="31">
        <f t="shared" si="207"/>
        <v>-5.1687509118345444E-2</v>
      </c>
    </row>
    <row r="1074" spans="1:27" x14ac:dyDescent="0.25">
      <c r="A1074" s="6" t="str">
        <f t="shared" si="201"/>
        <v>complete</v>
      </c>
      <c r="B1074" s="6" t="s">
        <v>1195</v>
      </c>
      <c r="C1074" s="6" t="str">
        <f t="shared" si="202"/>
        <v>HC94 1851</v>
      </c>
      <c r="D1074" s="6" t="s">
        <v>917</v>
      </c>
      <c r="E1074" s="20">
        <v>1851</v>
      </c>
      <c r="F1074" s="6" t="s">
        <v>563</v>
      </c>
      <c r="G1074" s="6" t="s">
        <v>920</v>
      </c>
      <c r="H1074" s="6" t="s">
        <v>977</v>
      </c>
      <c r="I1074" s="6" t="s">
        <v>20</v>
      </c>
      <c r="J1074" s="29">
        <v>24.657</v>
      </c>
      <c r="K1074" s="8">
        <f t="shared" si="203"/>
        <v>1.3919402351671355</v>
      </c>
      <c r="L1074" s="8">
        <f t="shared" si="204"/>
        <v>7.8102310218225641</v>
      </c>
      <c r="M1074" s="8">
        <v>3.6219999999999999</v>
      </c>
      <c r="N1074" s="8">
        <f>0.9+1.987+0.064+1.789+0.627</f>
        <v>5.367</v>
      </c>
      <c r="O1074" s="8">
        <v>2.3540000000000001</v>
      </c>
      <c r="P1074" s="8">
        <f>0.569+2.013+1.173</f>
        <v>3.7549999999999999</v>
      </c>
      <c r="Q1074" s="8"/>
      <c r="R1074" s="8"/>
      <c r="S1074" s="8"/>
      <c r="T1074" s="8"/>
      <c r="U1074" s="8">
        <f>N1074/M1074</f>
        <v>1.4817780231916069</v>
      </c>
      <c r="V1074" s="8">
        <f t="shared" ref="V1074:V1094" si="209">P1074/O1074</f>
        <v>1.5951571792693287</v>
      </c>
      <c r="W1074" s="8"/>
      <c r="X1074" s="8"/>
      <c r="Y1074" s="31">
        <f t="shared" si="205"/>
        <v>-0.18708835482138136</v>
      </c>
      <c r="Z1074" s="31" t="str">
        <f t="shared" si="206"/>
        <v/>
      </c>
      <c r="AA1074" s="31">
        <f t="shared" si="207"/>
        <v>-0.18708835482138136</v>
      </c>
    </row>
    <row r="1075" spans="1:27" x14ac:dyDescent="0.25">
      <c r="A1075" s="6" t="str">
        <f t="shared" si="201"/>
        <v>complete</v>
      </c>
      <c r="B1075" s="6" t="s">
        <v>1195</v>
      </c>
      <c r="C1075" s="6" t="str">
        <f t="shared" si="202"/>
        <v>HC94 1851</v>
      </c>
      <c r="D1075" s="6" t="s">
        <v>917</v>
      </c>
      <c r="E1075" s="20">
        <v>1851</v>
      </c>
      <c r="F1075" s="6" t="s">
        <v>563</v>
      </c>
      <c r="G1075" s="6" t="s">
        <v>921</v>
      </c>
      <c r="H1075" s="6" t="s">
        <v>977</v>
      </c>
      <c r="I1075" s="6" t="s">
        <v>20</v>
      </c>
      <c r="J1075" s="29">
        <v>12.481</v>
      </c>
      <c r="K1075" s="8">
        <f t="shared" si="203"/>
        <v>1.0962493831896114</v>
      </c>
      <c r="L1075" s="8">
        <f t="shared" si="204"/>
        <v>7.1293776739244077</v>
      </c>
      <c r="M1075" s="8">
        <v>0.80600000000000005</v>
      </c>
      <c r="N1075" s="8">
        <f>0.447 + 0.909</f>
        <v>1.3560000000000001</v>
      </c>
      <c r="O1075" s="8">
        <v>1.5529999999999999</v>
      </c>
      <c r="P1075" s="8">
        <f>0.592 + 1.033 + 0.724</f>
        <v>2.3490000000000002</v>
      </c>
      <c r="Q1075" s="8"/>
      <c r="R1075" s="8"/>
      <c r="S1075" s="8"/>
      <c r="T1075" s="8"/>
      <c r="U1075" s="8">
        <f>N1075/M1075</f>
        <v>1.6823821339950373</v>
      </c>
      <c r="V1075" s="8">
        <f t="shared" si="209"/>
        <v>1.5125563425627819</v>
      </c>
      <c r="W1075" s="8"/>
      <c r="X1075" s="8"/>
      <c r="Y1075" s="31">
        <f t="shared" si="205"/>
        <v>-0.20343250390439535</v>
      </c>
      <c r="Z1075" s="31" t="str">
        <f t="shared" si="206"/>
        <v/>
      </c>
      <c r="AA1075" s="31">
        <f t="shared" si="207"/>
        <v>-0.20343250390439535</v>
      </c>
    </row>
    <row r="1076" spans="1:27" x14ac:dyDescent="0.25">
      <c r="A1076" s="6" t="str">
        <f t="shared" si="201"/>
        <v>complete</v>
      </c>
      <c r="B1076" s="6" t="s">
        <v>1195</v>
      </c>
      <c r="C1076" s="6" t="str">
        <f t="shared" si="202"/>
        <v>HC94 1851</v>
      </c>
      <c r="D1076" s="6" t="s">
        <v>917</v>
      </c>
      <c r="E1076" s="20">
        <v>1851</v>
      </c>
      <c r="F1076" s="6" t="s">
        <v>563</v>
      </c>
      <c r="G1076" s="6" t="s">
        <v>922</v>
      </c>
      <c r="H1076" s="6" t="s">
        <v>977</v>
      </c>
      <c r="I1076" s="6" t="s">
        <v>20</v>
      </c>
      <c r="J1076" s="29">
        <v>12.74</v>
      </c>
      <c r="K1076" s="8">
        <f t="shared" si="203"/>
        <v>1.1051694279993316</v>
      </c>
      <c r="L1076" s="8">
        <f t="shared" si="204"/>
        <v>7.1499168361321086</v>
      </c>
      <c r="M1076" s="8"/>
      <c r="N1076" s="8"/>
      <c r="O1076" s="8">
        <v>1.972</v>
      </c>
      <c r="P1076" s="8">
        <f>0.752+1.16+1.229+0.582</f>
        <v>3.7229999999999999</v>
      </c>
      <c r="Q1076" s="8">
        <v>1.9119999999999999</v>
      </c>
      <c r="R1076" s="8">
        <f>0.784+0.133+1.998+0.252+0.613</f>
        <v>3.78</v>
      </c>
      <c r="S1076" s="8"/>
      <c r="T1076" s="8"/>
      <c r="U1076" s="8"/>
      <c r="V1076" s="8">
        <f t="shared" si="209"/>
        <v>1.8879310344827587</v>
      </c>
      <c r="W1076" s="8">
        <f>R1076/Q1076</f>
        <v>1.9769874476987448</v>
      </c>
      <c r="X1076" s="8"/>
      <c r="Y1076" s="31">
        <f t="shared" si="205"/>
        <v>-0.28611034266485164</v>
      </c>
      <c r="Z1076" s="31" t="str">
        <f t="shared" si="206"/>
        <v/>
      </c>
      <c r="AA1076" s="31">
        <f t="shared" si="207"/>
        <v>-0.28611034266485164</v>
      </c>
    </row>
    <row r="1077" spans="1:27" x14ac:dyDescent="0.25">
      <c r="A1077" s="6" t="str">
        <f t="shared" si="201"/>
        <v>complete</v>
      </c>
      <c r="B1077" s="6" t="s">
        <v>1195</v>
      </c>
      <c r="C1077" s="6" t="str">
        <f t="shared" si="202"/>
        <v>HC94 1851</v>
      </c>
      <c r="D1077" s="6" t="s">
        <v>917</v>
      </c>
      <c r="E1077" s="20">
        <v>1851</v>
      </c>
      <c r="F1077" s="6" t="s">
        <v>563</v>
      </c>
      <c r="G1077" s="6" t="s">
        <v>924</v>
      </c>
      <c r="H1077" s="6" t="s">
        <v>977</v>
      </c>
      <c r="I1077" s="6" t="s">
        <v>20</v>
      </c>
      <c r="J1077" s="29">
        <v>5.1660000000000004</v>
      </c>
      <c r="K1077" s="8">
        <f t="shared" si="203"/>
        <v>0.71315440183729839</v>
      </c>
      <c r="L1077" s="8">
        <f t="shared" si="204"/>
        <v>6.24726888066174</v>
      </c>
      <c r="M1077" s="8"/>
      <c r="N1077" s="8"/>
      <c r="O1077" s="8">
        <v>0.92600000000000005</v>
      </c>
      <c r="P1077" s="8">
        <f>0.44+0.993+0.861+0.88+0.324</f>
        <v>3.4979999999999998</v>
      </c>
      <c r="Q1077" s="8">
        <v>0.81500000000000006</v>
      </c>
      <c r="R1077" s="8">
        <f>0.595+1.179+0.2+0.384+0.124</f>
        <v>2.4820000000000002</v>
      </c>
      <c r="S1077" s="8"/>
      <c r="T1077" s="8"/>
      <c r="U1077" s="8"/>
      <c r="V1077" s="8">
        <f t="shared" si="209"/>
        <v>3.7775377969762416</v>
      </c>
      <c r="W1077" s="8">
        <f>R1077/Q1077</f>
        <v>3.0453987730061352</v>
      </c>
      <c r="X1077" s="8"/>
      <c r="Y1077" s="31">
        <f t="shared" si="205"/>
        <v>-0.53294133817862643</v>
      </c>
      <c r="Z1077" s="31" t="str">
        <f t="shared" si="206"/>
        <v/>
      </c>
      <c r="AA1077" s="31">
        <f t="shared" si="207"/>
        <v>-0.53294133817862643</v>
      </c>
    </row>
    <row r="1078" spans="1:27" x14ac:dyDescent="0.25">
      <c r="A1078" s="6" t="str">
        <f t="shared" si="201"/>
        <v>complete</v>
      </c>
      <c r="B1078" s="6" t="s">
        <v>1195</v>
      </c>
      <c r="C1078" s="6" t="str">
        <f t="shared" si="202"/>
        <v>HC94 1851</v>
      </c>
      <c r="D1078" s="6" t="s">
        <v>917</v>
      </c>
      <c r="E1078" s="20">
        <v>1851</v>
      </c>
      <c r="F1078" s="6" t="s">
        <v>563</v>
      </c>
      <c r="G1078" s="6" t="s">
        <v>923</v>
      </c>
      <c r="H1078" s="6" t="s">
        <v>977</v>
      </c>
      <c r="I1078" s="6" t="s">
        <v>20</v>
      </c>
      <c r="J1078" s="29">
        <v>46.503</v>
      </c>
      <c r="K1078" s="8">
        <f t="shared" si="203"/>
        <v>1.6674809709849865</v>
      </c>
      <c r="L1078" s="8">
        <f t="shared" si="204"/>
        <v>8.4446870126293589</v>
      </c>
      <c r="M1078" s="8">
        <v>4.0090000000000003</v>
      </c>
      <c r="N1078" s="8">
        <f>0.278 + 2.427 + 0.311 + 0.963</f>
        <v>3.9790000000000001</v>
      </c>
      <c r="O1078" s="8">
        <v>9.6639999999999997</v>
      </c>
      <c r="P1078" s="8">
        <f>1.034 + 2.908 + 3.494 + 2.464 + 0.859</f>
        <v>10.759</v>
      </c>
      <c r="Q1078" s="8"/>
      <c r="R1078" s="8"/>
      <c r="S1078" s="8">
        <v>4.3159999999999998</v>
      </c>
      <c r="T1078" s="8">
        <f>1.904 + 1.567 + 0.115</f>
        <v>3.5860000000000003</v>
      </c>
      <c r="U1078" s="8">
        <f>N1078/M1078</f>
        <v>0.99251683711648786</v>
      </c>
      <c r="V1078" s="8">
        <f t="shared" si="209"/>
        <v>1.1133071192052981</v>
      </c>
      <c r="W1078" s="8"/>
      <c r="X1078" s="8">
        <f>T1078/S1078</f>
        <v>0.83086190917516234</v>
      </c>
      <c r="Y1078" s="31">
        <f t="shared" si="205"/>
        <v>9.2637617813761605E-3</v>
      </c>
      <c r="Z1078" s="31" t="str">
        <f t="shared" si="206"/>
        <v/>
      </c>
      <c r="AA1078" s="31">
        <f t="shared" si="207"/>
        <v>9.2637617813761605E-3</v>
      </c>
    </row>
    <row r="1079" spans="1:27" x14ac:dyDescent="0.25">
      <c r="A1079" s="6" t="str">
        <f t="shared" si="201"/>
        <v>complete</v>
      </c>
      <c r="B1079" s="6" t="s">
        <v>1195</v>
      </c>
      <c r="C1079" s="6" t="str">
        <f t="shared" si="202"/>
        <v>HC94 1851</v>
      </c>
      <c r="D1079" s="6" t="s">
        <v>917</v>
      </c>
      <c r="E1079" s="20">
        <v>1851</v>
      </c>
      <c r="F1079" s="6" t="s">
        <v>563</v>
      </c>
      <c r="G1079" s="6" t="s">
        <v>953</v>
      </c>
      <c r="H1079" s="6" t="s">
        <v>977</v>
      </c>
      <c r="I1079" s="6" t="s">
        <v>20</v>
      </c>
      <c r="J1079" s="29">
        <v>45.204000000000001</v>
      </c>
      <c r="K1079" s="8">
        <f t="shared" si="203"/>
        <v>1.6551768662508926</v>
      </c>
      <c r="L1079" s="8">
        <f t="shared" si="204"/>
        <v>8.4163557644859956</v>
      </c>
      <c r="M1079" s="8"/>
      <c r="N1079" s="8"/>
      <c r="O1079" s="8">
        <v>5.6310000000000002</v>
      </c>
      <c r="P1079" s="8">
        <f>1.302+0.13+2.287+1.759</f>
        <v>5.4779999999999998</v>
      </c>
      <c r="Q1079" s="8"/>
      <c r="R1079" s="8"/>
      <c r="S1079" s="8">
        <v>8.9710000000000001</v>
      </c>
      <c r="T1079" s="8">
        <f>1.056+0.242+2.226+2.964+1.54</f>
        <v>8.0279999999999987</v>
      </c>
      <c r="U1079" s="8"/>
      <c r="V1079" s="8">
        <f t="shared" si="209"/>
        <v>0.97282898241875326</v>
      </c>
      <c r="W1079" s="8"/>
      <c r="X1079" s="8">
        <f>T1079/S1079</f>
        <v>0.89488351354364049</v>
      </c>
      <c r="Y1079" s="31">
        <f t="shared" si="205"/>
        <v>2.9719971214638433E-2</v>
      </c>
      <c r="Z1079" s="31" t="str">
        <f t="shared" si="206"/>
        <v/>
      </c>
      <c r="AA1079" s="31">
        <f t="shared" si="207"/>
        <v>2.9719971214638433E-2</v>
      </c>
    </row>
    <row r="1080" spans="1:27" x14ac:dyDescent="0.25">
      <c r="A1080" s="6" t="str">
        <f t="shared" si="201"/>
        <v>complete</v>
      </c>
      <c r="B1080" s="6" t="s">
        <v>1195</v>
      </c>
      <c r="C1080" s="6" t="str">
        <f t="shared" si="202"/>
        <v>HC94 1851</v>
      </c>
      <c r="D1080" s="6" t="s">
        <v>917</v>
      </c>
      <c r="E1080" s="20">
        <v>1851</v>
      </c>
      <c r="F1080" s="6" t="s">
        <v>563</v>
      </c>
      <c r="G1080" s="6" t="s">
        <v>952</v>
      </c>
      <c r="H1080" s="6" t="s">
        <v>977</v>
      </c>
      <c r="I1080" s="6" t="s">
        <v>20</v>
      </c>
      <c r="J1080" s="29">
        <v>28.33</v>
      </c>
      <c r="K1080" s="8">
        <f t="shared" si="203"/>
        <v>1.4522465745204372</v>
      </c>
      <c r="L1080" s="8">
        <f t="shared" si="204"/>
        <v>7.9490914998305167</v>
      </c>
      <c r="M1080" s="8"/>
      <c r="N1080" s="8"/>
      <c r="O1080" s="8">
        <v>3.9969999999999999</v>
      </c>
      <c r="P1080" s="8">
        <f>1.144+2.575+0.944</f>
        <v>4.6630000000000003</v>
      </c>
      <c r="Q1080" s="8">
        <v>0.50900000000000001</v>
      </c>
      <c r="R1080" s="8">
        <f>0.424+0.531</f>
        <v>0.95500000000000007</v>
      </c>
      <c r="S1080" s="8">
        <v>4.2480000000000002</v>
      </c>
      <c r="T1080" s="8">
        <f>1.594+1.969+0.981</f>
        <v>4.5440000000000005</v>
      </c>
      <c r="U1080" s="8"/>
      <c r="V1080" s="8">
        <f t="shared" si="209"/>
        <v>1.1666249687265451</v>
      </c>
      <c r="W1080" s="8">
        <f>R1080/Q1080</f>
        <v>1.8762278978389</v>
      </c>
      <c r="X1080" s="8">
        <f>T1080/S1080</f>
        <v>1.0696798493408664</v>
      </c>
      <c r="Y1080" s="31">
        <f t="shared" si="205"/>
        <v>-0.13698811113953954</v>
      </c>
      <c r="Z1080" s="31" t="str">
        <f t="shared" si="206"/>
        <v/>
      </c>
      <c r="AA1080" s="31">
        <f t="shared" si="207"/>
        <v>-0.13698811113953954</v>
      </c>
    </row>
    <row r="1081" spans="1:27" x14ac:dyDescent="0.25">
      <c r="A1081" s="6" t="str">
        <f t="shared" si="201"/>
        <v>complete</v>
      </c>
      <c r="B1081" s="6" t="s">
        <v>1195</v>
      </c>
      <c r="C1081" s="6" t="str">
        <f t="shared" si="202"/>
        <v>HC94 1851</v>
      </c>
      <c r="D1081" s="6" t="s">
        <v>917</v>
      </c>
      <c r="E1081" s="20">
        <v>1851</v>
      </c>
      <c r="F1081" s="6" t="s">
        <v>563</v>
      </c>
      <c r="G1081" s="6" t="s">
        <v>925</v>
      </c>
      <c r="H1081" s="6" t="s">
        <v>977</v>
      </c>
      <c r="I1081" s="6" t="s">
        <v>20</v>
      </c>
      <c r="J1081" s="29">
        <f>11.337*2</f>
        <v>22.673999999999999</v>
      </c>
      <c r="K1081" s="8">
        <f t="shared" si="203"/>
        <v>1.3555281423006582</v>
      </c>
      <c r="L1081" s="8">
        <f t="shared" si="204"/>
        <v>7.7263890795834982</v>
      </c>
      <c r="M1081" s="8"/>
      <c r="N1081" s="8"/>
      <c r="O1081" s="8">
        <v>3.1469999999999998</v>
      </c>
      <c r="P1081" s="8">
        <f>0.852+1.443+1.491+0.988</f>
        <v>4.774</v>
      </c>
      <c r="Q1081" s="8"/>
      <c r="R1081" s="8"/>
      <c r="S1081" s="8">
        <v>2.6469999999999998</v>
      </c>
      <c r="T1081" s="8">
        <f>0.635+1.586+1.131</f>
        <v>3.3520000000000003</v>
      </c>
      <c r="U1081" s="8"/>
      <c r="V1081" s="8">
        <f t="shared" si="209"/>
        <v>1.517000317762949</v>
      </c>
      <c r="W1081" s="8"/>
      <c r="X1081" s="8">
        <f>T1081/S1081</f>
        <v>1.2663392519833776</v>
      </c>
      <c r="Y1081" s="31">
        <f t="shared" si="205"/>
        <v>-0.14353619819099392</v>
      </c>
      <c r="Z1081" s="31" t="str">
        <f t="shared" si="206"/>
        <v/>
      </c>
      <c r="AA1081" s="31">
        <f t="shared" si="207"/>
        <v>-0.14353619819099392</v>
      </c>
    </row>
    <row r="1082" spans="1:27" x14ac:dyDescent="0.25">
      <c r="A1082" s="6" t="str">
        <f t="shared" si="201"/>
        <v>complete</v>
      </c>
      <c r="B1082" s="6" t="s">
        <v>1195</v>
      </c>
      <c r="C1082" s="6" t="str">
        <f t="shared" si="202"/>
        <v>HC94 1851</v>
      </c>
      <c r="D1082" s="6" t="s">
        <v>917</v>
      </c>
      <c r="E1082" s="20">
        <v>1851</v>
      </c>
      <c r="F1082" s="6" t="s">
        <v>563</v>
      </c>
      <c r="G1082" s="6" t="s">
        <v>926</v>
      </c>
      <c r="H1082" s="6" t="s">
        <v>977</v>
      </c>
      <c r="I1082" s="6" t="s">
        <v>20</v>
      </c>
      <c r="J1082" s="29">
        <v>13.198</v>
      </c>
      <c r="K1082" s="8">
        <f t="shared" si="203"/>
        <v>1.1205081240261039</v>
      </c>
      <c r="L1082" s="8">
        <f t="shared" si="204"/>
        <v>7.1852354889493215</v>
      </c>
      <c r="M1082" s="8"/>
      <c r="N1082" s="8"/>
      <c r="O1082" s="8">
        <v>1.6140000000000001</v>
      </c>
      <c r="P1082" s="8">
        <f>0.807 + 2.037</f>
        <v>2.8439999999999999</v>
      </c>
      <c r="Q1082" s="8"/>
      <c r="R1082" s="8"/>
      <c r="S1082" s="8">
        <v>1.5940000000000001</v>
      </c>
      <c r="T1082" s="8">
        <f>0.583 + 1.488 + 1.218</f>
        <v>3.2889999999999997</v>
      </c>
      <c r="U1082" s="8"/>
      <c r="V1082" s="8">
        <f t="shared" si="209"/>
        <v>1.762081784386617</v>
      </c>
      <c r="W1082" s="8"/>
      <c r="X1082" s="8">
        <f>T1082/S1082</f>
        <v>2.0633626097866999</v>
      </c>
      <c r="Y1082" s="31">
        <f t="shared" si="205"/>
        <v>-0.28165189787186085</v>
      </c>
      <c r="Z1082" s="31" t="str">
        <f t="shared" si="206"/>
        <v/>
      </c>
      <c r="AA1082" s="31">
        <f t="shared" si="207"/>
        <v>-0.28165189787186085</v>
      </c>
    </row>
    <row r="1083" spans="1:27" x14ac:dyDescent="0.25">
      <c r="A1083" s="6" t="str">
        <f t="shared" si="201"/>
        <v>fragment</v>
      </c>
      <c r="B1083" s="6" t="s">
        <v>1195</v>
      </c>
      <c r="C1083" s="6" t="str">
        <f t="shared" si="202"/>
        <v>HC94 1851</v>
      </c>
      <c r="D1083" s="6" t="s">
        <v>917</v>
      </c>
      <c r="E1083" s="20">
        <v>1851</v>
      </c>
      <c r="F1083" s="6" t="s">
        <v>563</v>
      </c>
      <c r="G1083" s="6" t="s">
        <v>927</v>
      </c>
      <c r="H1083" s="6" t="s">
        <v>977</v>
      </c>
      <c r="I1083" s="6" t="s">
        <v>20</v>
      </c>
      <c r="J1083" s="29"/>
      <c r="K1083" s="8" t="str">
        <f t="shared" si="203"/>
        <v/>
      </c>
      <c r="L1083" s="8" t="str">
        <f t="shared" si="204"/>
        <v/>
      </c>
      <c r="M1083" s="8"/>
      <c r="N1083" s="8"/>
      <c r="O1083" s="8">
        <v>2.5329999999999999</v>
      </c>
      <c r="P1083" s="8">
        <f>0.545 + 1.406 + 0.106 + 1.215 + 0.379</f>
        <v>3.6510000000000002</v>
      </c>
      <c r="Q1083" s="8">
        <v>1.641</v>
      </c>
      <c r="R1083" s="8">
        <f>0.811 + 0.889 + 0.627</f>
        <v>2.327</v>
      </c>
      <c r="S1083" s="8"/>
      <c r="T1083" s="8"/>
      <c r="U1083" s="8"/>
      <c r="V1083" s="8">
        <f t="shared" si="209"/>
        <v>1.4413738649822347</v>
      </c>
      <c r="W1083" s="8">
        <f>R1083/Q1083</f>
        <v>1.4180377818403411</v>
      </c>
      <c r="X1083" s="8"/>
      <c r="Y1083" s="31">
        <f t="shared" si="205"/>
        <v>-0.15524668612788051</v>
      </c>
      <c r="Z1083" s="31">
        <f t="shared" si="206"/>
        <v>-0.15524668612788051</v>
      </c>
      <c r="AA1083" s="31" t="str">
        <f t="shared" si="207"/>
        <v/>
      </c>
    </row>
    <row r="1084" spans="1:27" x14ac:dyDescent="0.25">
      <c r="A1084" s="6" t="str">
        <f t="shared" si="201"/>
        <v>complete</v>
      </c>
      <c r="B1084" s="6" t="s">
        <v>1195</v>
      </c>
      <c r="C1084" s="6" t="str">
        <f t="shared" si="202"/>
        <v>HC94 1851</v>
      </c>
      <c r="D1084" s="6" t="s">
        <v>917</v>
      </c>
      <c r="E1084" s="20">
        <v>1851</v>
      </c>
      <c r="F1084" s="6" t="s">
        <v>563</v>
      </c>
      <c r="G1084" s="6" t="s">
        <v>928</v>
      </c>
      <c r="H1084" s="6" t="s">
        <v>977</v>
      </c>
      <c r="I1084" s="6" t="s">
        <v>20</v>
      </c>
      <c r="J1084" s="29">
        <f>14.547*2</f>
        <v>29.094000000000001</v>
      </c>
      <c r="K1084" s="8">
        <f t="shared" si="203"/>
        <v>1.4638034344991679</v>
      </c>
      <c r="L1084" s="8">
        <f t="shared" si="204"/>
        <v>7.9757021533393617</v>
      </c>
      <c r="M1084" s="8">
        <v>2.694</v>
      </c>
      <c r="N1084" s="8">
        <f>1.095 + 1.371 + 0.726</f>
        <v>3.1920000000000002</v>
      </c>
      <c r="O1084" s="8">
        <v>3.173</v>
      </c>
      <c r="P1084" s="8">
        <f>0.927 + 2.709 + 1.132 + 0.332</f>
        <v>5.0999999999999996</v>
      </c>
      <c r="Q1084" s="8">
        <v>1.9930000000000001</v>
      </c>
      <c r="R1084" s="8">
        <f>1.116 + 1.478 + 0.394</f>
        <v>2.9880000000000004</v>
      </c>
      <c r="S1084" s="8"/>
      <c r="T1084" s="8"/>
      <c r="U1084" s="8">
        <f>N1084/M1084</f>
        <v>1.1848552338530067</v>
      </c>
      <c r="V1084" s="8">
        <f t="shared" si="209"/>
        <v>1.6073116924046642</v>
      </c>
      <c r="W1084" s="8">
        <f>R1084/Q1084</f>
        <v>1.499247365780231</v>
      </c>
      <c r="X1084" s="8"/>
      <c r="Y1084" s="31">
        <f t="shared" si="205"/>
        <v>-0.15547918851511464</v>
      </c>
      <c r="Z1084" s="31" t="str">
        <f t="shared" si="206"/>
        <v/>
      </c>
      <c r="AA1084" s="31">
        <f t="shared" si="207"/>
        <v>-0.15547918851511464</v>
      </c>
    </row>
    <row r="1085" spans="1:27" x14ac:dyDescent="0.25">
      <c r="A1085" s="6" t="str">
        <f t="shared" si="201"/>
        <v>complete</v>
      </c>
      <c r="B1085" s="6" t="s">
        <v>1195</v>
      </c>
      <c r="C1085" s="6" t="str">
        <f t="shared" si="202"/>
        <v>HC94 1851</v>
      </c>
      <c r="D1085" s="6" t="s">
        <v>917</v>
      </c>
      <c r="E1085" s="20">
        <v>1851</v>
      </c>
      <c r="F1085" s="6" t="s">
        <v>563</v>
      </c>
      <c r="G1085" s="6" t="s">
        <v>929</v>
      </c>
      <c r="H1085" s="6" t="s">
        <v>977</v>
      </c>
      <c r="I1085" s="6" t="s">
        <v>20</v>
      </c>
      <c r="J1085" s="29">
        <f>22.692*2</f>
        <v>45.384</v>
      </c>
      <c r="K1085" s="8">
        <f t="shared" si="203"/>
        <v>1.6569027705566457</v>
      </c>
      <c r="L1085" s="8">
        <f t="shared" si="204"/>
        <v>8.4203298060123579</v>
      </c>
      <c r="M1085" s="8"/>
      <c r="N1085" s="8"/>
      <c r="O1085" s="8">
        <v>7.2480000000000002</v>
      </c>
      <c r="P1085" s="8">
        <f>1.014 + 2.486 + 2.812 + 0.628 + 0.674</f>
        <v>7.6139999999999999</v>
      </c>
      <c r="Q1085" s="8"/>
      <c r="R1085" s="8"/>
      <c r="S1085" s="8">
        <v>10.241</v>
      </c>
      <c r="T1085" s="8">
        <f>0.402 + 2.38 + 3.266 + 3.592 + 1.635</f>
        <v>11.275</v>
      </c>
      <c r="U1085" s="8"/>
      <c r="V1085" s="8">
        <f t="shared" si="209"/>
        <v>1.0504966887417218</v>
      </c>
      <c r="W1085" s="8"/>
      <c r="X1085" s="8">
        <f>T1085/S1085</f>
        <v>1.1009667024704619</v>
      </c>
      <c r="Y1085" s="31">
        <f t="shared" si="205"/>
        <v>-3.1703964966164656E-2</v>
      </c>
      <c r="Z1085" s="31" t="str">
        <f t="shared" si="206"/>
        <v/>
      </c>
      <c r="AA1085" s="31">
        <f t="shared" si="207"/>
        <v>-3.1703964966164656E-2</v>
      </c>
    </row>
    <row r="1086" spans="1:27" x14ac:dyDescent="0.25">
      <c r="A1086" s="6" t="str">
        <f t="shared" si="201"/>
        <v>complete</v>
      </c>
      <c r="B1086" s="6" t="s">
        <v>1195</v>
      </c>
      <c r="C1086" s="6" t="str">
        <f t="shared" si="202"/>
        <v>HC94 1851</v>
      </c>
      <c r="D1086" s="6" t="s">
        <v>917</v>
      </c>
      <c r="E1086" s="20">
        <v>1851</v>
      </c>
      <c r="F1086" s="6" t="s">
        <v>563</v>
      </c>
      <c r="G1086" s="6" t="s">
        <v>930</v>
      </c>
      <c r="H1086" s="6" t="s">
        <v>977</v>
      </c>
      <c r="I1086" s="6" t="s">
        <v>20</v>
      </c>
      <c r="J1086" s="29">
        <f>7.542*2</f>
        <v>15.084</v>
      </c>
      <c r="K1086" s="8">
        <f t="shared" si="203"/>
        <v>1.1785165237335826</v>
      </c>
      <c r="L1086" s="8">
        <f t="shared" si="204"/>
        <v>7.3188047653842023</v>
      </c>
      <c r="M1086" s="8"/>
      <c r="N1086" s="8"/>
      <c r="O1086" s="8">
        <v>1.369</v>
      </c>
      <c r="P1086" s="8">
        <f>0.582 + 1.065 + 0.554</f>
        <v>2.2009999999999996</v>
      </c>
      <c r="Q1086" s="8"/>
      <c r="R1086" s="8"/>
      <c r="S1086" s="8">
        <v>0.84499999999999997</v>
      </c>
      <c r="T1086" s="8">
        <f>0.886 + 0.422</f>
        <v>1.3080000000000001</v>
      </c>
      <c r="U1086" s="8"/>
      <c r="V1086" s="8">
        <f t="shared" si="209"/>
        <v>1.607742878013148</v>
      </c>
      <c r="W1086" s="8"/>
      <c r="X1086" s="8">
        <f>T1086/S1086</f>
        <v>1.5479289940828402</v>
      </c>
      <c r="Y1086" s="31">
        <f t="shared" si="205"/>
        <v>-0.19806184312351877</v>
      </c>
      <c r="Z1086" s="31" t="str">
        <f t="shared" si="206"/>
        <v/>
      </c>
      <c r="AA1086" s="31">
        <f t="shared" si="207"/>
        <v>-0.19806184312351877</v>
      </c>
    </row>
    <row r="1087" spans="1:27" x14ac:dyDescent="0.25">
      <c r="A1087" s="6" t="str">
        <f t="shared" si="201"/>
        <v>complete</v>
      </c>
      <c r="B1087" s="6" t="s">
        <v>1195</v>
      </c>
      <c r="C1087" s="6" t="str">
        <f t="shared" si="202"/>
        <v>HC94 2202</v>
      </c>
      <c r="D1087" s="6" t="s">
        <v>917</v>
      </c>
      <c r="E1087" s="20">
        <v>2202</v>
      </c>
      <c r="G1087" s="6" t="s">
        <v>932</v>
      </c>
      <c r="H1087" s="6" t="s">
        <v>977</v>
      </c>
      <c r="I1087" s="8" t="s">
        <v>20</v>
      </c>
      <c r="J1087" s="29">
        <v>34.298999999999999</v>
      </c>
      <c r="K1087" s="8">
        <f t="shared" si="203"/>
        <v>1.535281458211492</v>
      </c>
      <c r="L1087" s="8">
        <f t="shared" si="204"/>
        <v>8.1402863852160348</v>
      </c>
      <c r="M1087" s="8"/>
      <c r="N1087" s="8"/>
      <c r="O1087" s="8">
        <v>5.1660000000000004</v>
      </c>
      <c r="P1087" s="8">
        <f>1.278+2.907+1.307</f>
        <v>5.4920000000000009</v>
      </c>
      <c r="Q1087" s="8"/>
      <c r="R1087" s="8"/>
      <c r="S1087" s="8">
        <v>7.4909999999999997</v>
      </c>
      <c r="T1087" s="8">
        <f>1.363+3.04+3.24+1.155</f>
        <v>8.798</v>
      </c>
      <c r="U1087" s="8"/>
      <c r="V1087" s="8">
        <f t="shared" si="209"/>
        <v>1.0631049167634534</v>
      </c>
      <c r="W1087" s="8"/>
      <c r="X1087" s="8">
        <f>T1087/S1087</f>
        <v>1.1744760379121613</v>
      </c>
      <c r="Y1087" s="31">
        <f t="shared" si="205"/>
        <v>-4.8748761187830968E-2</v>
      </c>
      <c r="Z1087" s="31" t="str">
        <f t="shared" si="206"/>
        <v/>
      </c>
      <c r="AA1087" s="31">
        <f t="shared" si="207"/>
        <v>-4.8748761187830968E-2</v>
      </c>
    </row>
    <row r="1088" spans="1:27" x14ac:dyDescent="0.25">
      <c r="A1088" s="6" t="str">
        <f t="shared" si="201"/>
        <v>complete</v>
      </c>
      <c r="B1088" s="6" t="s">
        <v>1195</v>
      </c>
      <c r="C1088" s="6" t="str">
        <f t="shared" si="202"/>
        <v>HC94 86108</v>
      </c>
      <c r="D1088" s="6" t="s">
        <v>917</v>
      </c>
      <c r="E1088" s="20">
        <v>86108</v>
      </c>
      <c r="G1088" s="6" t="s">
        <v>933</v>
      </c>
      <c r="H1088" s="6" t="s">
        <v>977</v>
      </c>
      <c r="I1088" s="8" t="s">
        <v>20</v>
      </c>
      <c r="J1088" s="29">
        <v>23.35425</v>
      </c>
      <c r="K1088" s="8">
        <f t="shared" si="203"/>
        <v>1.36836592488471</v>
      </c>
      <c r="L1088" s="8">
        <f t="shared" si="204"/>
        <v>7.7559491663886346</v>
      </c>
      <c r="M1088" s="8"/>
      <c r="N1088" s="8"/>
      <c r="O1088" s="8">
        <v>3.7970000000000002</v>
      </c>
      <c r="P1088" s="8">
        <f>0.864 + 1.957 + 2.61 + 1.305</f>
        <v>6.7359999999999998</v>
      </c>
      <c r="Q1088" s="8">
        <v>2.157</v>
      </c>
      <c r="R1088" s="8">
        <f>1.233 + 0.948</f>
        <v>2.181</v>
      </c>
      <c r="S1088" s="8"/>
      <c r="T1088" s="8"/>
      <c r="U1088" s="8"/>
      <c r="V1088" s="8">
        <f t="shared" si="209"/>
        <v>1.7740321306294442</v>
      </c>
      <c r="W1088" s="8">
        <f>R1088/Q1088</f>
        <v>1.0111265646731571</v>
      </c>
      <c r="X1088" s="8"/>
      <c r="Y1088" s="31">
        <f t="shared" si="205"/>
        <v>-0.14381995017635146</v>
      </c>
      <c r="Z1088" s="31" t="str">
        <f t="shared" si="206"/>
        <v/>
      </c>
      <c r="AA1088" s="31">
        <f t="shared" si="207"/>
        <v>-0.14381995017635146</v>
      </c>
    </row>
    <row r="1089" spans="1:27" x14ac:dyDescent="0.25">
      <c r="A1089" s="6" t="str">
        <f t="shared" si="201"/>
        <v>complete</v>
      </c>
      <c r="B1089" s="6" t="s">
        <v>1195</v>
      </c>
      <c r="C1089" s="6" t="str">
        <f t="shared" si="202"/>
        <v>HC94 87101</v>
      </c>
      <c r="D1089" s="6" t="s">
        <v>917</v>
      </c>
      <c r="E1089" s="20">
        <v>87101</v>
      </c>
      <c r="G1089" s="6" t="s">
        <v>934</v>
      </c>
      <c r="I1089" s="8" t="s">
        <v>20</v>
      </c>
      <c r="J1089" s="29">
        <f>2*14.82389</f>
        <v>29.647780000000001</v>
      </c>
      <c r="K1089" s="8">
        <f t="shared" si="203"/>
        <v>1.4719921793243733</v>
      </c>
      <c r="L1089" s="8">
        <f t="shared" si="204"/>
        <v>7.9945574351042117</v>
      </c>
      <c r="M1089" s="8"/>
      <c r="N1089" s="8"/>
      <c r="O1089" s="8">
        <v>5.3979999999999997</v>
      </c>
      <c r="P1089" s="8">
        <f>1.608 + 3.318 + 1.412 + 0.768 + 0.504 + 1.169</f>
        <v>8.7789999999999999</v>
      </c>
      <c r="Q1089" s="8"/>
      <c r="R1089" s="8"/>
      <c r="S1089" s="8"/>
      <c r="T1089" s="8"/>
      <c r="U1089" s="8"/>
      <c r="V1089" s="8">
        <f t="shared" si="209"/>
        <v>1.6263430900333458</v>
      </c>
      <c r="W1089" s="8"/>
      <c r="X1089" s="8"/>
      <c r="Y1089" s="31">
        <f t="shared" si="205"/>
        <v>-0.21121216880453259</v>
      </c>
      <c r="Z1089" s="31" t="str">
        <f t="shared" si="206"/>
        <v/>
      </c>
      <c r="AA1089" s="31">
        <f t="shared" si="207"/>
        <v>-0.21121216880453259</v>
      </c>
    </row>
    <row r="1090" spans="1:27" x14ac:dyDescent="0.25">
      <c r="A1090" s="6" t="str">
        <f t="shared" si="201"/>
        <v>complete</v>
      </c>
      <c r="B1090" s="6" t="s">
        <v>1195</v>
      </c>
      <c r="C1090" s="6" t="str">
        <f t="shared" ref="C1090:C1153" si="210">D1090&amp;" "&amp;E1090</f>
        <v>HC94 88131</v>
      </c>
      <c r="D1090" s="6" t="s">
        <v>917</v>
      </c>
      <c r="E1090" s="20">
        <v>88131</v>
      </c>
      <c r="G1090" s="6" t="s">
        <v>936</v>
      </c>
      <c r="H1090" s="6" t="s">
        <v>979</v>
      </c>
      <c r="I1090" s="8" t="s">
        <v>20</v>
      </c>
      <c r="J1090" s="29">
        <v>11.80424</v>
      </c>
      <c r="K1090" s="8">
        <f t="shared" ref="K1090:K1153" si="211">IF(J1090&gt;0,LOG(J1090),"")</f>
        <v>1.0720380308530031</v>
      </c>
      <c r="L1090" s="8">
        <f t="shared" si="204"/>
        <v>7.0736289749529071</v>
      </c>
      <c r="M1090" s="8">
        <v>0.96399999999999997</v>
      </c>
      <c r="N1090" s="8">
        <f>0.32+0.999+1.25</f>
        <v>2.569</v>
      </c>
      <c r="O1090" s="8">
        <v>2.6549999999999998</v>
      </c>
      <c r="P1090" s="8">
        <f>0.443+1.627+0.109+2.143+0.163+0.886</f>
        <v>5.3709999999999996</v>
      </c>
      <c r="Q1090" s="8">
        <v>0.96499999999999997</v>
      </c>
      <c r="R1090" s="8">
        <f>0.389+0.981+0.69</f>
        <v>2.06</v>
      </c>
      <c r="S1090" s="8"/>
      <c r="T1090" s="8"/>
      <c r="U1090" s="8">
        <f>N1090/M1090</f>
        <v>2.6649377593360994</v>
      </c>
      <c r="V1090" s="8">
        <f t="shared" si="209"/>
        <v>2.0229755178907722</v>
      </c>
      <c r="W1090" s="8">
        <f>R1090/Q1090</f>
        <v>2.1347150259067358</v>
      </c>
      <c r="X1090" s="8"/>
      <c r="Y1090" s="31">
        <f t="shared" ref="Y1090:Y1153" si="212">IF(COUNT(U1090:X1090)&gt;0,LOG(1/AVERAGE(U1090:X1090)),"")</f>
        <v>-0.35683045683648917</v>
      </c>
      <c r="Z1090" s="31" t="str">
        <f t="shared" ref="Z1090:Z1153" si="213">IF(A1090="fragment",IF(ISNUMBER(Y1090)=TRUE,Y1090,""),"")</f>
        <v/>
      </c>
      <c r="AA1090" s="31">
        <f t="shared" si="207"/>
        <v>-0.35683045683648917</v>
      </c>
    </row>
    <row r="1091" spans="1:27" x14ac:dyDescent="0.25">
      <c r="A1091" s="6" t="str">
        <f t="shared" si="201"/>
        <v>complete</v>
      </c>
      <c r="B1091" s="6" t="s">
        <v>1195</v>
      </c>
      <c r="C1091" s="6" t="str">
        <f t="shared" si="210"/>
        <v>HC94 88139</v>
      </c>
      <c r="D1091" s="6" t="s">
        <v>917</v>
      </c>
      <c r="E1091" s="20">
        <v>88139</v>
      </c>
      <c r="G1091" s="6" t="s">
        <v>935</v>
      </c>
      <c r="H1091" s="6" t="s">
        <v>977</v>
      </c>
      <c r="I1091" s="8" t="s">
        <v>20</v>
      </c>
      <c r="J1091" s="29">
        <v>19.008120000000002</v>
      </c>
      <c r="K1091" s="8">
        <f t="shared" si="211"/>
        <v>1.278939165050538</v>
      </c>
      <c r="L1091" s="8">
        <f t="shared" si="204"/>
        <v>7.550036442279711</v>
      </c>
      <c r="M1091" s="8"/>
      <c r="N1091" s="8"/>
      <c r="O1091" s="8">
        <v>3.448</v>
      </c>
      <c r="P1091" s="8">
        <f>0.651 + 2.247 + 2.516 + 0.732</f>
        <v>6.1459999999999999</v>
      </c>
      <c r="Q1091" s="8">
        <v>1.339</v>
      </c>
      <c r="R1091" s="8">
        <f>0.588 + 1.352</f>
        <v>1.94</v>
      </c>
      <c r="S1091" s="8"/>
      <c r="T1091" s="8"/>
      <c r="U1091" s="8"/>
      <c r="V1091" s="8">
        <f t="shared" si="209"/>
        <v>1.7824825986078887</v>
      </c>
      <c r="W1091" s="8">
        <f>R1091/Q1091</f>
        <v>1.4488424197162062</v>
      </c>
      <c r="X1091" s="8"/>
      <c r="Y1091" s="31">
        <f t="shared" si="212"/>
        <v>-0.2083506474559722</v>
      </c>
      <c r="Z1091" s="31" t="str">
        <f t="shared" si="213"/>
        <v/>
      </c>
      <c r="AA1091" s="31">
        <f t="shared" si="207"/>
        <v>-0.2083506474559722</v>
      </c>
    </row>
    <row r="1092" spans="1:27" x14ac:dyDescent="0.25">
      <c r="A1092" s="6" t="str">
        <f t="shared" si="201"/>
        <v>complete</v>
      </c>
      <c r="B1092" s="6" t="s">
        <v>940</v>
      </c>
      <c r="C1092" s="6" t="str">
        <f t="shared" si="210"/>
        <v>HC98 571</v>
      </c>
      <c r="D1092" s="21" t="s">
        <v>937</v>
      </c>
      <c r="E1092" s="20">
        <v>571</v>
      </c>
      <c r="F1092" s="6" t="s">
        <v>545</v>
      </c>
      <c r="G1092" s="6" t="s">
        <v>938</v>
      </c>
      <c r="H1092" s="6" t="s">
        <v>977</v>
      </c>
      <c r="I1092" s="8" t="s">
        <v>20</v>
      </c>
      <c r="J1092" s="29">
        <f>24.501*2</f>
        <v>49.002000000000002</v>
      </c>
      <c r="K1092" s="8">
        <f t="shared" si="211"/>
        <v>1.6902138059721461</v>
      </c>
      <c r="L1092" s="8">
        <f t="shared" si="204"/>
        <v>8.497031299592285</v>
      </c>
      <c r="M1092" s="8"/>
      <c r="N1092" s="8"/>
      <c r="O1092" s="8">
        <v>5.0110000000000001</v>
      </c>
      <c r="P1092" s="8">
        <f>1.636 + 2.967 + 2.134 + 0.733</f>
        <v>7.47</v>
      </c>
      <c r="Q1092" s="8">
        <v>0.97</v>
      </c>
      <c r="R1092" s="8">
        <f>0.467 + 0.716 + 0.353</f>
        <v>1.536</v>
      </c>
      <c r="S1092" s="8">
        <v>6.3019999999999996</v>
      </c>
      <c r="T1092" s="8">
        <f>2.44 + 3.553 + 2.212 + 0.779</f>
        <v>8.984</v>
      </c>
      <c r="U1092" s="8"/>
      <c r="V1092" s="8">
        <f t="shared" si="209"/>
        <v>1.490720415086809</v>
      </c>
      <c r="W1092" s="8">
        <f>R1092/Q1092</f>
        <v>1.5835051546391754</v>
      </c>
      <c r="X1092" s="8">
        <f>T1092/S1092</f>
        <v>1.4255791812123135</v>
      </c>
      <c r="Y1092" s="31">
        <f t="shared" si="212"/>
        <v>-0.17607241518240754</v>
      </c>
      <c r="Z1092" s="31" t="str">
        <f t="shared" si="213"/>
        <v/>
      </c>
      <c r="AA1092" s="31">
        <f t="shared" si="207"/>
        <v>-0.17607241518240754</v>
      </c>
    </row>
    <row r="1093" spans="1:27" x14ac:dyDescent="0.25">
      <c r="A1093" s="6" t="str">
        <f t="shared" si="201"/>
        <v>fragment</v>
      </c>
      <c r="B1093" s="6" t="s">
        <v>940</v>
      </c>
      <c r="C1093" s="6" t="str">
        <f t="shared" si="210"/>
        <v>HC98 571</v>
      </c>
      <c r="D1093" s="21" t="s">
        <v>937</v>
      </c>
      <c r="E1093" s="20">
        <v>571</v>
      </c>
      <c r="F1093" s="6" t="s">
        <v>545</v>
      </c>
      <c r="G1093" s="6" t="s">
        <v>939</v>
      </c>
      <c r="H1093" s="6" t="s">
        <v>977</v>
      </c>
      <c r="I1093" s="8" t="s">
        <v>20</v>
      </c>
      <c r="J1093" s="29"/>
      <c r="K1093" s="8" t="str">
        <f t="shared" si="211"/>
        <v/>
      </c>
      <c r="L1093" s="8" t="str">
        <f t="shared" si="204"/>
        <v/>
      </c>
      <c r="M1093" s="8"/>
      <c r="N1093" s="8"/>
      <c r="O1093" s="8">
        <v>1.931</v>
      </c>
      <c r="P1093" s="8">
        <f>0.979 + 1.74</f>
        <v>2.7189999999999999</v>
      </c>
      <c r="Q1093" s="8"/>
      <c r="R1093" s="8"/>
      <c r="S1093" s="8">
        <v>2.089</v>
      </c>
      <c r="T1093" s="8">
        <f>1.232 + 2.037</f>
        <v>3.2690000000000001</v>
      </c>
      <c r="U1093" s="8"/>
      <c r="V1093" s="8">
        <f t="shared" si="209"/>
        <v>1.4080787156913515</v>
      </c>
      <c r="W1093" s="8"/>
      <c r="X1093" s="8">
        <f>T1093/S1093</f>
        <v>1.5648635710866443</v>
      </c>
      <c r="Y1093" s="31">
        <f t="shared" si="212"/>
        <v>-0.17215648273801862</v>
      </c>
      <c r="Z1093" s="31">
        <f t="shared" si="213"/>
        <v>-0.17215648273801862</v>
      </c>
      <c r="AA1093" s="31" t="str">
        <f t="shared" si="207"/>
        <v/>
      </c>
    </row>
    <row r="1094" spans="1:27" x14ac:dyDescent="0.25">
      <c r="A1094" s="6" t="str">
        <f t="shared" si="201"/>
        <v>complete</v>
      </c>
      <c r="B1094" s="6" t="s">
        <v>940</v>
      </c>
      <c r="C1094" s="6" t="str">
        <f t="shared" si="210"/>
        <v>HC98 897</v>
      </c>
      <c r="D1094" s="21" t="s">
        <v>937</v>
      </c>
      <c r="E1094" s="20">
        <v>897</v>
      </c>
      <c r="G1094" s="6" t="s">
        <v>941</v>
      </c>
      <c r="H1094" s="6" t="s">
        <v>977</v>
      </c>
      <c r="I1094" s="8" t="s">
        <v>20</v>
      </c>
      <c r="J1094" s="29">
        <v>55.796999999999997</v>
      </c>
      <c r="K1094" s="8">
        <f t="shared" si="211"/>
        <v>1.7466108491441967</v>
      </c>
      <c r="L1094" s="8">
        <f t="shared" si="204"/>
        <v>8.6268902904891913</v>
      </c>
      <c r="M1094" s="8"/>
      <c r="N1094" s="8"/>
      <c r="O1094" s="8">
        <v>6.3250000000000002</v>
      </c>
      <c r="P1094" s="8">
        <f>0.921+3.321+2.391</f>
        <v>6.633</v>
      </c>
      <c r="Q1094" s="8">
        <v>0.96699999999999997</v>
      </c>
      <c r="R1094" s="8">
        <f>0.481+0.614+0.468</f>
        <v>1.5629999999999999</v>
      </c>
      <c r="S1094" s="8">
        <v>5.5179999999999998</v>
      </c>
      <c r="T1094" s="8">
        <f>1.212+3.026+2.371</f>
        <v>6.609</v>
      </c>
      <c r="U1094" s="8"/>
      <c r="V1094" s="8">
        <f t="shared" si="209"/>
        <v>1.048695652173913</v>
      </c>
      <c r="W1094" s="8">
        <f>R1094/Q1094</f>
        <v>1.6163391933815925</v>
      </c>
      <c r="X1094" s="8">
        <f>T1094/S1094</f>
        <v>1.1977165639724539</v>
      </c>
      <c r="Y1094" s="31">
        <f t="shared" si="212"/>
        <v>-0.1097755049539801</v>
      </c>
      <c r="Z1094" s="31" t="str">
        <f t="shared" si="213"/>
        <v/>
      </c>
      <c r="AA1094" s="31">
        <f t="shared" si="207"/>
        <v>-0.1097755049539801</v>
      </c>
    </row>
  </sheetData>
  <sheetProtection selectLockedCells="1" selectUnlockedCells="1"/>
  <sortState ref="A2:AC1097">
    <sortCondition ref="C2:C1097"/>
  </sortState>
  <pageMargins left="0.7" right="0.7" top="0.75" bottom="0.75" header="0.51180555555555551" footer="0.51180555555555551"/>
  <pageSetup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Notes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Hagen, Eric</dc:creator>
  <cp:lastModifiedBy>Kathleen</cp:lastModifiedBy>
  <dcterms:created xsi:type="dcterms:W3CDTF">2017-09-11T03:09:28Z</dcterms:created>
  <dcterms:modified xsi:type="dcterms:W3CDTF">2018-12-28T19:43:08Z</dcterms:modified>
</cp:coreProperties>
</file>